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-15" windowWidth="14520" windowHeight="12840"/>
  </bookViews>
  <sheets>
    <sheet name="Eingaben" sheetId="1" r:id="rId1"/>
    <sheet name="Berechnungen" sheetId="2" state="hidden" r:id="rId2"/>
    <sheet name="Tabelle1" sheetId="4" state="hidden" r:id="rId3"/>
    <sheet name="Tabelle2" sheetId="5" state="hidden" r:id="rId4"/>
    <sheet name="Tabelle3" sheetId="6" state="hidden" r:id="rId5"/>
    <sheet name="Tabelle4" sheetId="7" state="hidden" r:id="rId6"/>
  </sheets>
  <calcPr calcId="145621"/>
</workbook>
</file>

<file path=xl/calcChain.xml><?xml version="1.0" encoding="utf-8"?>
<calcChain xmlns="http://schemas.openxmlformats.org/spreadsheetml/2006/main">
  <c r="E15" i="1" l="1"/>
  <c r="E14" i="1"/>
  <c r="E164" i="2"/>
  <c r="E165" i="2" s="1"/>
  <c r="E18" i="1" l="1"/>
  <c r="E116" i="2" l="1"/>
  <c r="E117" i="2" s="1"/>
  <c r="G113" i="2"/>
  <c r="E113" i="2"/>
  <c r="F7" i="1" l="1"/>
  <c r="D122" i="2" s="1"/>
  <c r="G65" i="2" l="1"/>
  <c r="C18" i="2"/>
  <c r="C17" i="2"/>
  <c r="C16" i="2"/>
  <c r="C20" i="2" l="1"/>
  <c r="C19" i="2"/>
  <c r="E114" i="2" l="1"/>
  <c r="E112" i="2"/>
  <c r="E110" i="2"/>
  <c r="E109" i="2"/>
  <c r="I98" i="2" l="1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G114" i="2"/>
  <c r="G112" i="2"/>
  <c r="G111" i="2"/>
  <c r="G110" i="2"/>
  <c r="G10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D111" i="2" l="1"/>
  <c r="E111" i="2" s="1"/>
  <c r="H9" i="1" l="1"/>
  <c r="H10" i="1"/>
  <c r="H37" i="1"/>
  <c r="H35" i="1"/>
  <c r="H34" i="1"/>
  <c r="E90" i="2"/>
  <c r="E89" i="2"/>
  <c r="E88" i="2"/>
  <c r="E87" i="2"/>
  <c r="E86" i="2"/>
  <c r="E85" i="2"/>
  <c r="E84" i="2"/>
  <c r="E83" i="2"/>
  <c r="E82" i="2"/>
  <c r="E81" i="2"/>
  <c r="J39" i="1"/>
  <c r="C39" i="1" s="1"/>
  <c r="J38" i="1"/>
  <c r="C38" i="1" s="1"/>
  <c r="J37" i="1"/>
  <c r="C37" i="1" s="1"/>
  <c r="J36" i="1"/>
  <c r="C36" i="1" s="1"/>
  <c r="C40" i="1"/>
  <c r="I132" i="2"/>
  <c r="C138" i="2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F103" i="2" l="1"/>
  <c r="F104" i="2" l="1"/>
  <c r="J102" i="2"/>
  <c r="G102" i="2" s="1"/>
  <c r="E26" i="1"/>
  <c r="E25" i="1"/>
  <c r="E24" i="1"/>
  <c r="E31" i="1" l="1"/>
  <c r="H38" i="1" s="1"/>
  <c r="F24" i="1"/>
  <c r="E98" i="2" l="1"/>
  <c r="E97" i="2"/>
  <c r="E96" i="2"/>
  <c r="E95" i="2"/>
  <c r="E94" i="2"/>
  <c r="E93" i="2"/>
  <c r="E92" i="2"/>
  <c r="E91" i="2"/>
  <c r="D68" i="2" l="1"/>
  <c r="D67" i="2"/>
  <c r="F10" i="1"/>
  <c r="F9" i="1"/>
  <c r="G39" i="2"/>
  <c r="C37" i="2"/>
  <c r="J24" i="2" l="1"/>
  <c r="C34" i="2"/>
  <c r="C32" i="2"/>
  <c r="C42" i="2"/>
  <c r="C41" i="2"/>
  <c r="C40" i="2"/>
  <c r="C39" i="2"/>
  <c r="C38" i="2"/>
  <c r="C36" i="2"/>
  <c r="C35" i="2"/>
  <c r="C33" i="2"/>
  <c r="C31" i="2"/>
  <c r="C30" i="2"/>
  <c r="C29" i="2"/>
  <c r="C28" i="2"/>
  <c r="C27" i="2"/>
  <c r="C26" i="2"/>
  <c r="D70" i="2" l="1"/>
  <c r="F122" i="2"/>
  <c r="I46" i="2"/>
  <c r="I28" i="2"/>
  <c r="I37" i="2"/>
  <c r="D75" i="2" l="1"/>
  <c r="F53" i="2"/>
  <c r="G53" i="2" s="1"/>
  <c r="I65" i="2"/>
  <c r="D73" i="2" s="1"/>
  <c r="D71" i="2"/>
  <c r="D69" i="2"/>
  <c r="G67" i="2" s="1"/>
  <c r="D123" i="2"/>
  <c r="E27" i="1" l="1"/>
  <c r="E162" i="2" s="1"/>
  <c r="D74" i="2"/>
  <c r="D72" i="2"/>
  <c r="F124" i="2" s="1"/>
  <c r="E161" i="2" s="1"/>
  <c r="E163" i="2" l="1"/>
  <c r="E166" i="2" s="1"/>
  <c r="I27" i="1" s="1"/>
  <c r="C21" i="2"/>
  <c r="C58" i="2" s="1"/>
  <c r="C62" i="2" l="1"/>
  <c r="D58" i="2"/>
  <c r="D127" i="2" l="1"/>
  <c r="D62" i="2"/>
  <c r="C22" i="1" s="1"/>
  <c r="G105" i="2" l="1"/>
  <c r="D128" i="2"/>
  <c r="E29" i="1" s="1"/>
  <c r="E28" i="1"/>
  <c r="C21" i="1"/>
  <c r="E21" i="1" s="1"/>
  <c r="C19" i="1"/>
  <c r="E22" i="1"/>
  <c r="C20" i="1"/>
  <c r="E20" i="1" s="1"/>
  <c r="E19" i="1" l="1"/>
  <c r="H21" i="1"/>
  <c r="I21" i="1" s="1"/>
  <c r="G28" i="1"/>
  <c r="F105" i="2"/>
  <c r="E30" i="1" s="1"/>
  <c r="H39" i="1"/>
  <c r="I11" i="1"/>
  <c r="H22" i="1"/>
  <c r="I22" i="1" s="1"/>
  <c r="H36" i="1"/>
  <c r="G22" i="1"/>
  <c r="G21" i="1" s="1"/>
  <c r="G20" i="1" s="1"/>
  <c r="G19" i="1" s="1"/>
  <c r="H19" i="1" l="1"/>
  <c r="I19" i="1" s="1"/>
  <c r="B56" i="1"/>
  <c r="H20" i="1"/>
  <c r="I20" i="1" s="1"/>
  <c r="J34" i="1" s="1"/>
  <c r="C34" i="1" s="1"/>
  <c r="J35" i="1"/>
  <c r="C35" i="1" s="1"/>
  <c r="E134" i="2" l="1"/>
  <c r="D142" i="2" s="1"/>
  <c r="D156" i="2" l="1"/>
  <c r="E158" i="2" s="1"/>
  <c r="E150" i="2" s="1"/>
  <c r="F150" i="2" s="1"/>
  <c r="D149" i="2"/>
  <c r="D154" i="2"/>
  <c r="D148" i="2"/>
  <c r="D144" i="2"/>
  <c r="D153" i="2"/>
  <c r="D138" i="2"/>
  <c r="D152" i="2"/>
  <c r="D145" i="2"/>
  <c r="D137" i="2"/>
  <c r="D139" i="2"/>
  <c r="D147" i="2"/>
  <c r="D143" i="2"/>
  <c r="D150" i="2"/>
  <c r="D146" i="2"/>
  <c r="D151" i="2"/>
  <c r="D140" i="2"/>
  <c r="D155" i="2"/>
  <c r="D141" i="2"/>
  <c r="E143" i="2" l="1"/>
  <c r="F143" i="2" s="1"/>
  <c r="H143" i="2" s="1"/>
  <c r="E153" i="2"/>
  <c r="G153" i="2" s="1"/>
  <c r="I153" i="2" s="1"/>
  <c r="E137" i="2"/>
  <c r="F137" i="2" s="1"/>
  <c r="H137" i="2" s="1"/>
  <c r="E140" i="2"/>
  <c r="F140" i="2" s="1"/>
  <c r="H140" i="2" s="1"/>
  <c r="E156" i="2"/>
  <c r="G156" i="2" s="1"/>
  <c r="I156" i="2" s="1"/>
  <c r="G150" i="2"/>
  <c r="I150" i="2" s="1"/>
  <c r="E145" i="2"/>
  <c r="F145" i="2" s="1"/>
  <c r="H145" i="2" s="1"/>
  <c r="E151" i="2"/>
  <c r="G151" i="2" s="1"/>
  <c r="I151" i="2" s="1"/>
  <c r="E155" i="2"/>
  <c r="F155" i="2" s="1"/>
  <c r="H155" i="2" s="1"/>
  <c r="E154" i="2"/>
  <c r="G154" i="2" s="1"/>
  <c r="I154" i="2" s="1"/>
  <c r="E142" i="2"/>
  <c r="F142" i="2" s="1"/>
  <c r="H142" i="2" s="1"/>
  <c r="E147" i="2"/>
  <c r="F147" i="2" s="1"/>
  <c r="J147" i="2" s="1"/>
  <c r="L147" i="2" s="1"/>
  <c r="E141" i="2"/>
  <c r="G141" i="2" s="1"/>
  <c r="K141" i="2" s="1"/>
  <c r="M141" i="2" s="1"/>
  <c r="E144" i="2"/>
  <c r="G144" i="2" s="1"/>
  <c r="I144" i="2" s="1"/>
  <c r="E152" i="2"/>
  <c r="G152" i="2" s="1"/>
  <c r="K152" i="2" s="1"/>
  <c r="M152" i="2" s="1"/>
  <c r="E146" i="2"/>
  <c r="G146" i="2" s="1"/>
  <c r="I146" i="2" s="1"/>
  <c r="E139" i="2"/>
  <c r="G139" i="2" s="1"/>
  <c r="K139" i="2" s="1"/>
  <c r="M139" i="2" s="1"/>
  <c r="E148" i="2"/>
  <c r="G148" i="2" s="1"/>
  <c r="K148" i="2" s="1"/>
  <c r="M148" i="2" s="1"/>
  <c r="E149" i="2"/>
  <c r="G149" i="2" s="1"/>
  <c r="K149" i="2" s="1"/>
  <c r="M149" i="2" s="1"/>
  <c r="E138" i="2"/>
  <c r="F138" i="2" s="1"/>
  <c r="J138" i="2" s="1"/>
  <c r="L138" i="2" s="1"/>
  <c r="H150" i="2"/>
  <c r="J150" i="2"/>
  <c r="L150" i="2" s="1"/>
  <c r="J143" i="2" l="1"/>
  <c r="L143" i="2" s="1"/>
  <c r="G143" i="2"/>
  <c r="I143" i="2" s="1"/>
  <c r="F156" i="2"/>
  <c r="H156" i="2" s="1"/>
  <c r="K156" i="2"/>
  <c r="M156" i="2" s="1"/>
  <c r="F153" i="2"/>
  <c r="H153" i="2" s="1"/>
  <c r="K150" i="2"/>
  <c r="M150" i="2" s="1"/>
  <c r="K153" i="2"/>
  <c r="M153" i="2" s="1"/>
  <c r="J145" i="2"/>
  <c r="L145" i="2" s="1"/>
  <c r="G137" i="2"/>
  <c r="I137" i="2" s="1"/>
  <c r="J137" i="2"/>
  <c r="L137" i="2" s="1"/>
  <c r="G145" i="2"/>
  <c r="K145" i="2" s="1"/>
  <c r="M145" i="2" s="1"/>
  <c r="F146" i="2"/>
  <c r="H146" i="2" s="1"/>
  <c r="G147" i="2"/>
  <c r="I147" i="2" s="1"/>
  <c r="G140" i="2"/>
  <c r="K140" i="2" s="1"/>
  <c r="M140" i="2" s="1"/>
  <c r="J140" i="2"/>
  <c r="L140" i="2" s="1"/>
  <c r="F151" i="2"/>
  <c r="J151" i="2" s="1"/>
  <c r="L151" i="2" s="1"/>
  <c r="K154" i="2"/>
  <c r="M154" i="2" s="1"/>
  <c r="K146" i="2"/>
  <c r="M146" i="2" s="1"/>
  <c r="I148" i="2"/>
  <c r="F154" i="2"/>
  <c r="H154" i="2" s="1"/>
  <c r="K144" i="2"/>
  <c r="M144" i="2" s="1"/>
  <c r="F144" i="2"/>
  <c r="H144" i="2" s="1"/>
  <c r="F148" i="2"/>
  <c r="H148" i="2" s="1"/>
  <c r="J142" i="2"/>
  <c r="L142" i="2" s="1"/>
  <c r="I141" i="2"/>
  <c r="H138" i="2"/>
  <c r="K151" i="2"/>
  <c r="M151" i="2" s="1"/>
  <c r="H147" i="2"/>
  <c r="I152" i="2"/>
  <c r="J155" i="2"/>
  <c r="L155" i="2" s="1"/>
  <c r="F141" i="2"/>
  <c r="H141" i="2" s="1"/>
  <c r="G142" i="2"/>
  <c r="I142" i="2" s="1"/>
  <c r="F152" i="2"/>
  <c r="H152" i="2" s="1"/>
  <c r="G155" i="2"/>
  <c r="K155" i="2" s="1"/>
  <c r="M155" i="2" s="1"/>
  <c r="G138" i="2"/>
  <c r="I138" i="2" s="1"/>
  <c r="F149" i="2"/>
  <c r="J149" i="2" s="1"/>
  <c r="L149" i="2" s="1"/>
  <c r="I139" i="2"/>
  <c r="I149" i="2"/>
  <c r="F139" i="2"/>
  <c r="J139" i="2" s="1"/>
  <c r="L139" i="2" s="1"/>
  <c r="H151" i="2"/>
  <c r="K147" i="2"/>
  <c r="M147" i="2" s="1"/>
  <c r="J156" i="2" l="1"/>
  <c r="L156" i="2" s="1"/>
  <c r="J153" i="2"/>
  <c r="L153" i="2" s="1"/>
  <c r="K143" i="2"/>
  <c r="M143" i="2" s="1"/>
  <c r="K137" i="2"/>
  <c r="M137" i="2" s="1"/>
  <c r="I140" i="2"/>
  <c r="J146" i="2"/>
  <c r="L146" i="2" s="1"/>
  <c r="I145" i="2"/>
  <c r="J154" i="2"/>
  <c r="L154" i="2" s="1"/>
  <c r="H149" i="2"/>
  <c r="K142" i="2"/>
  <c r="M142" i="2" s="1"/>
  <c r="J144" i="2"/>
  <c r="L144" i="2" s="1"/>
  <c r="J148" i="2"/>
  <c r="L148" i="2" s="1"/>
  <c r="I155" i="2"/>
  <c r="K138" i="2"/>
  <c r="M138" i="2" s="1"/>
  <c r="J141" i="2"/>
  <c r="L141" i="2" s="1"/>
  <c r="H139" i="2"/>
  <c r="J152" i="2"/>
  <c r="L152" i="2" s="1"/>
</calcChain>
</file>

<file path=xl/comments1.xml><?xml version="1.0" encoding="utf-8"?>
<comments xmlns="http://schemas.openxmlformats.org/spreadsheetml/2006/main">
  <authors>
    <author>OliverB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 xml:space="preserve">Select Basic Type in accordance with Type number (See Type Label):
P (S/E/Q)-Insertion Probe Type
V40-1 1/2" Venturi
V25-1 " Venturi
V20-3/4" Venturi 10mm core
V8-3/4" Venturi 8mm core
V6-3/4" Venturi 6mm core
V4- 3/4" Venturi 4mm core
</t>
        </r>
      </text>
    </comment>
    <comment ref="D4" authorId="0">
      <text>
        <r>
          <rPr>
            <sz val="9"/>
            <color indexed="81"/>
            <rFont val="Tahoma"/>
            <family val="2"/>
          </rPr>
          <t>LP - Low Pressure Type, 0..4,5 bara
HP - high Pressure Type, 0..14 bara</t>
        </r>
      </text>
    </comment>
    <comment ref="E4" authorId="0">
      <text>
        <r>
          <rPr>
            <sz val="9"/>
            <color indexed="81"/>
            <rFont val="Tahoma"/>
            <family val="2"/>
          </rPr>
          <t>D0 - No Display
D1 - Display (std)
F12 - Remote Display</t>
        </r>
      </text>
    </comment>
    <comment ref="F4" authorId="0">
      <text>
        <r>
          <rPr>
            <sz val="9"/>
            <color indexed="81"/>
            <rFont val="Tahoma"/>
            <family val="2"/>
          </rPr>
          <t>DS - Standard Accuracy (std)
DH - High Accuracy</t>
        </r>
      </text>
    </comment>
    <comment ref="B9" authorId="0">
      <text>
        <r>
          <rPr>
            <sz val="9"/>
            <color indexed="81"/>
            <rFont val="Tahoma"/>
            <family val="2"/>
          </rPr>
          <t xml:space="preserve">Please enter the normal operation pressure of your application
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Enter the normal operation temperature of your application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Enter the maximum flow of your application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ImproovIT is a calibration factor for the flowmeter: q corr = q std * ImprooveIT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Damping of the analouge flow output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4..20mA Output function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0..10VDC output function</t>
        </r>
      </text>
    </comment>
  </commentList>
</comments>
</file>

<file path=xl/sharedStrings.xml><?xml version="1.0" encoding="utf-8"?>
<sst xmlns="http://schemas.openxmlformats.org/spreadsheetml/2006/main" count="260" uniqueCount="191">
  <si>
    <t>Basic Type</t>
  </si>
  <si>
    <t>DFC</t>
  </si>
  <si>
    <t>Typeb</t>
  </si>
  <si>
    <t>V25</t>
  </si>
  <si>
    <t>V20</t>
  </si>
  <si>
    <t>V8</t>
  </si>
  <si>
    <t>V6</t>
  </si>
  <si>
    <t>Pressure Rating</t>
  </si>
  <si>
    <t>Pressure</t>
  </si>
  <si>
    <t>HP</t>
  </si>
  <si>
    <t>LP</t>
  </si>
  <si>
    <t>Accuracy</t>
  </si>
  <si>
    <t>Display</t>
  </si>
  <si>
    <t>Gas type</t>
  </si>
  <si>
    <t>Gas Type</t>
  </si>
  <si>
    <t>Air</t>
  </si>
  <si>
    <t>Nitrogene</t>
  </si>
  <si>
    <t>Methane</t>
  </si>
  <si>
    <t>other…</t>
  </si>
  <si>
    <t>Span [kg/h] air</t>
  </si>
  <si>
    <t>V40</t>
  </si>
  <si>
    <t>V4</t>
  </si>
  <si>
    <t>kg/h</t>
  </si>
  <si>
    <t>diameter</t>
  </si>
  <si>
    <t>Span P [kg/h]</t>
  </si>
  <si>
    <t>ID²</t>
  </si>
  <si>
    <t>5th Degree Polynomial Fit:  y=a+bx+cx^2+dx^3...</t>
  </si>
  <si>
    <t>Coefficient Data:</t>
  </si>
  <si>
    <t>a =</t>
  </si>
  <si>
    <t>b =</t>
  </si>
  <si>
    <t>c =</t>
  </si>
  <si>
    <t>d =</t>
  </si>
  <si>
    <t>e =</t>
  </si>
  <si>
    <t>f =</t>
  </si>
  <si>
    <t>enter Inside Diameter</t>
  </si>
  <si>
    <t>mm</t>
  </si>
  <si>
    <t>Flow [kg/h]</t>
  </si>
  <si>
    <t>ID0..50</t>
  </si>
  <si>
    <t>ID50..200</t>
  </si>
  <si>
    <t>ID 200..unendlich</t>
  </si>
  <si>
    <t>Flow HP</t>
  </si>
  <si>
    <t>Flow LP</t>
  </si>
  <si>
    <t>HP Flow</t>
  </si>
  <si>
    <t>LP Flow</t>
  </si>
  <si>
    <t>Auswahl Primärelementyp</t>
  </si>
  <si>
    <t>kg/h für Luft</t>
  </si>
  <si>
    <t>kg/h für sonstiges Gas</t>
  </si>
  <si>
    <t>Messbereiche Luft von Venturis</t>
  </si>
  <si>
    <t>Messbereiche Luft von Sonde, ermittelt als Polynom 5. Ordnung für 3 Durchmesserbereiche (Curve Fit)</t>
  </si>
  <si>
    <t>Gaskorrektur für andere Gase als Luft</t>
  </si>
  <si>
    <t>Density [kg/Nm³]</t>
  </si>
  <si>
    <t>Normal Operation Pressure [barabs]</t>
  </si>
  <si>
    <t>Normal Operation Temperature [°C]</t>
  </si>
  <si>
    <t>Maximum Flow</t>
  </si>
  <si>
    <t>User Units</t>
  </si>
  <si>
    <t>kg/min</t>
  </si>
  <si>
    <t>kg/s</t>
  </si>
  <si>
    <t>Nm³/h</t>
  </si>
  <si>
    <t>Nm³/min</t>
  </si>
  <si>
    <t>Nm³/s</t>
  </si>
  <si>
    <t>m³/h [compressor inlet, 20°C, 1,0bar]</t>
  </si>
  <si>
    <t>m³/min [compressor inlet, 20°C, 1,0bar]</t>
  </si>
  <si>
    <t>m³/s [compressor inlet, 20°C, 1,0bar]</t>
  </si>
  <si>
    <t>Low Flow</t>
  </si>
  <si>
    <t>Medium Flow</t>
  </si>
  <si>
    <t>Faktor für Umrechnung auf Usereinheiten</t>
  </si>
  <si>
    <t>Normdichte</t>
  </si>
  <si>
    <t>Dichte 20°C/1bar</t>
  </si>
  <si>
    <t>Umrechnungsfaktor</t>
  </si>
  <si>
    <t>Aus DF12</t>
  </si>
  <si>
    <t>ID</t>
  </si>
  <si>
    <t>dp loss bei 200mbar</t>
  </si>
  <si>
    <t>dploss bei 400mbar</t>
  </si>
  <si>
    <t>Epsilon bei 200mbar</t>
  </si>
  <si>
    <t>Epsilon bei 400mbar</t>
  </si>
  <si>
    <t>deltacalc</t>
  </si>
  <si>
    <t>Druckverlust sonde bei qmax Luft; normbedingungen</t>
  </si>
  <si>
    <t>Epsilon</t>
  </si>
  <si>
    <t>Polynomisch für Druckverlust</t>
  </si>
  <si>
    <t>Berechnung von Druckverlusten und Expansionszahlen, für Luft bei Normbedingungen, qmax, dp=400mbar</t>
  </si>
  <si>
    <t>Druckverlust [mbar]</t>
  </si>
  <si>
    <t>dploss bei 100mbar</t>
  </si>
  <si>
    <t>ID 8/15</t>
  </si>
  <si>
    <t>ID 4/15</t>
  </si>
  <si>
    <t>ID 15/10</t>
  </si>
  <si>
    <t>Max Operation Flow</t>
  </si>
  <si>
    <t>Operational Flow</t>
  </si>
  <si>
    <t>Operational Pressure</t>
  </si>
  <si>
    <t>bar abs</t>
  </si>
  <si>
    <t>°C</t>
  </si>
  <si>
    <t>Operational Temperature</t>
  </si>
  <si>
    <t>Operational Density</t>
  </si>
  <si>
    <t>Betriebsdichte</t>
  </si>
  <si>
    <t>dp at Operational Flow</t>
  </si>
  <si>
    <t>kg/m³</t>
  </si>
  <si>
    <t>dp Berechnung</t>
  </si>
  <si>
    <t>mbar</t>
  </si>
  <si>
    <t>druckverlust berechnung</t>
  </si>
  <si>
    <t>Berechungen für Operation conditions</t>
  </si>
  <si>
    <t>Keps</t>
  </si>
  <si>
    <t>Innendurchmesser</t>
  </si>
  <si>
    <t>KEPS</t>
  </si>
  <si>
    <t>[-]</t>
  </si>
  <si>
    <t>ImprooveIT</t>
  </si>
  <si>
    <t>P10 (C/S/Q)</t>
  </si>
  <si>
    <t>D1</t>
  </si>
  <si>
    <t>DS</t>
  </si>
  <si>
    <t>Umrechnung User Operation flow auf kg/h</t>
  </si>
  <si>
    <t>Berechnungen für Druckverlust und Unsicherheit</t>
  </si>
  <si>
    <t>Messbereich</t>
  </si>
  <si>
    <t>dp</t>
  </si>
  <si>
    <t>Spanfehler</t>
  </si>
  <si>
    <t>Damping</t>
  </si>
  <si>
    <t>1 sec</t>
  </si>
  <si>
    <t>0,2 sec</t>
  </si>
  <si>
    <t>3 sec</t>
  </si>
  <si>
    <t>10 sec</t>
  </si>
  <si>
    <t>Messbereichsendwert</t>
  </si>
  <si>
    <t>Fehler 0,1 mbar</t>
  </si>
  <si>
    <t>4..20mA Output</t>
  </si>
  <si>
    <t>0..10VDC Output</t>
  </si>
  <si>
    <t>Temperature</t>
  </si>
  <si>
    <t>Ausgang 4..20</t>
  </si>
  <si>
    <t>Ausgang 0..10VDC</t>
  </si>
  <si>
    <t>Flow</t>
  </si>
  <si>
    <t>Damping High</t>
  </si>
  <si>
    <t>DIAGNOSIS</t>
  </si>
  <si>
    <t>Accuracy o.s. [no offset]</t>
  </si>
  <si>
    <t>© systec  Controls Mess- und Regeltechnik GmbH, Lindberghstraße 4, 82178 Puchheim, Germany</t>
  </si>
  <si>
    <t>www.systec-controls.de - Fon: +49-(0)89-809060 - Fax: +49-(0)89-80906-200 - Email: info@systec-controls.de</t>
  </si>
  <si>
    <t>Settings</t>
  </si>
  <si>
    <t>Calculated Results</t>
  </si>
  <si>
    <t>DIP switches settings</t>
  </si>
  <si>
    <t>Display Settings (Option D1)</t>
  </si>
  <si>
    <t>FlowUnit</t>
  </si>
  <si>
    <t>TimeBasis</t>
  </si>
  <si>
    <t>FlowSpan</t>
  </si>
  <si>
    <t>PressRange</t>
  </si>
  <si>
    <t>Min recommended diameter is 25mm, please use Venturi</t>
  </si>
  <si>
    <t>Epsilon bei operation</t>
  </si>
  <si>
    <t>Pressure Loss at Operational Flow</t>
  </si>
  <si>
    <t>Flow Span Low</t>
  </si>
  <si>
    <t>Flow Span High</t>
  </si>
  <si>
    <t>Damping Low</t>
  </si>
  <si>
    <t>Accuracy o.s. [after offset *]</t>
  </si>
  <si>
    <t xml:space="preserve">* Please proceed zero offset after installation and in an adequate service intaervall </t>
  </si>
  <si>
    <t>DH (opt)</t>
  </si>
  <si>
    <t>D0 (opt)</t>
  </si>
  <si>
    <t>F12 (opt)</t>
  </si>
  <si>
    <t>Fehler 0.3mbar</t>
  </si>
  <si>
    <t>dp bei 100%</t>
  </si>
  <si>
    <t>Epsilon bei 100mbar</t>
  </si>
  <si>
    <t>ID 25/15</t>
  </si>
  <si>
    <t>ID 20/35</t>
  </si>
  <si>
    <t>Dichte bei 14 bar</t>
  </si>
  <si>
    <t>Polynomisch für Expansionszahl</t>
  </si>
  <si>
    <t>Exponential Association: y=a(1-exp(-bx)</t>
  </si>
  <si>
    <t>Harris Model: y=1/(a+bx^c)</t>
  </si>
  <si>
    <t>Polynomisch für Epsilon bei 400mbar</t>
  </si>
  <si>
    <t>Polynomisch Druckverlust bei 400mbar</t>
  </si>
  <si>
    <t>Carbon dioxide</t>
  </si>
  <si>
    <t>Oxygene</t>
  </si>
  <si>
    <t>Ammonia</t>
  </si>
  <si>
    <t>V20(10)</t>
  </si>
  <si>
    <t>Kspan</t>
  </si>
  <si>
    <t>V18(8)</t>
  </si>
  <si>
    <t>V18(6)</t>
  </si>
  <si>
    <t>V18(4)</t>
  </si>
  <si>
    <t>ID 6/15</t>
  </si>
  <si>
    <t>V16(8)</t>
  </si>
  <si>
    <t>V16(6)</t>
  </si>
  <si>
    <t>V16(4)</t>
  </si>
  <si>
    <t>02.04.2019 Gemessen</t>
  </si>
  <si>
    <t>Nl/min</t>
  </si>
  <si>
    <t>Uncertaincy Std Accuracy</t>
  </si>
  <si>
    <t>Uncertaincy High Accuracy</t>
  </si>
  <si>
    <t>Uncertaincy o.s. High Accuracy</t>
  </si>
  <si>
    <t>Uncertaincy o.s. Std, Accuracy</t>
  </si>
  <si>
    <t>Accuracy (typical)</t>
  </si>
  <si>
    <t>Fluid Velocity</t>
  </si>
  <si>
    <t>Berechnung Fluid Velocity</t>
  </si>
  <si>
    <t>Durchfluss</t>
  </si>
  <si>
    <t>Dichte</t>
  </si>
  <si>
    <t>Volumenstrom</t>
  </si>
  <si>
    <t>m/s</t>
  </si>
  <si>
    <t>m³/s</t>
  </si>
  <si>
    <t>A</t>
  </si>
  <si>
    <t>m²</t>
  </si>
  <si>
    <t>Velocity</t>
  </si>
  <si>
    <t>V1.07 OB 10.04.2019</t>
  </si>
  <si>
    <t>Very Low Flow**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</si>
</sst>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1" fontId="0" fillId="0" borderId="0" xfId="0" applyNumberFormat="1" applyBorder="1"/>
    <xf numFmtId="0" fontId="0" fillId="0" borderId="0" xfId="0" applyFill="1" applyBorder="1"/>
    <xf numFmtId="0" fontId="0" fillId="0" borderId="0" xfId="0" applyNumberFormat="1" applyBorder="1"/>
    <xf numFmtId="17" fontId="0" fillId="0" borderId="4" xfId="0" applyNumberFormat="1" applyBorder="1"/>
    <xf numFmtId="10" fontId="0" fillId="0" borderId="0" xfId="0" applyNumberFormat="1"/>
    <xf numFmtId="0" fontId="7" fillId="0" borderId="1" xfId="0" applyFont="1" applyBorder="1"/>
    <xf numFmtId="0" fontId="7" fillId="0" borderId="4" xfId="0" applyFont="1" applyBorder="1"/>
    <xf numFmtId="0" fontId="7" fillId="0" borderId="6" xfId="0" applyFont="1" applyBorder="1"/>
    <xf numFmtId="0" fontId="0" fillId="0" borderId="9" xfId="0" applyBorder="1"/>
    <xf numFmtId="0" fontId="0" fillId="0" borderId="2" xfId="0" applyBorder="1" applyAlignment="1">
      <alignment textRotation="90"/>
    </xf>
    <xf numFmtId="0" fontId="0" fillId="0" borderId="3" xfId="0" applyBorder="1" applyAlignment="1">
      <alignment textRotation="90"/>
    </xf>
    <xf numFmtId="0" fontId="1" fillId="0" borderId="0" xfId="0" applyFont="1" applyBorder="1"/>
    <xf numFmtId="0" fontId="0" fillId="0" borderId="0" xfId="0" applyBorder="1" applyAlignment="1">
      <alignment wrapText="1"/>
    </xf>
    <xf numFmtId="0" fontId="3" fillId="0" borderId="0" xfId="0" applyFont="1" applyBorder="1"/>
    <xf numFmtId="0" fontId="5" fillId="0" borderId="0" xfId="0" applyFont="1" applyAlignment="1"/>
    <xf numFmtId="0" fontId="7" fillId="0" borderId="0" xfId="0" applyFont="1" applyBorder="1"/>
    <xf numFmtId="0" fontId="7" fillId="0" borderId="2" xfId="0" applyFont="1" applyBorder="1"/>
    <xf numFmtId="0" fontId="8" fillId="0" borderId="3" xfId="0" applyFont="1" applyBorder="1"/>
    <xf numFmtId="0" fontId="8" fillId="0" borderId="5" xfId="0" applyFont="1" applyBorder="1"/>
    <xf numFmtId="0" fontId="7" fillId="0" borderId="7" xfId="0" applyFont="1" applyBorder="1"/>
    <xf numFmtId="0" fontId="8" fillId="0" borderId="8" xfId="0" applyFont="1" applyBorder="1"/>
    <xf numFmtId="0" fontId="5" fillId="0" borderId="0" xfId="0" applyFont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10" fillId="0" borderId="0" xfId="0" applyFont="1" applyBorder="1"/>
    <xf numFmtId="0" fontId="0" fillId="0" borderId="0" xfId="0" applyFont="1" applyBorder="1"/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2" borderId="0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6" fillId="0" borderId="9" xfId="0" applyFont="1" applyBorder="1" applyAlignment="1">
      <alignment horizontal="right"/>
    </xf>
    <xf numFmtId="0" fontId="0" fillId="0" borderId="4" xfId="0" applyFill="1" applyBorder="1"/>
    <xf numFmtId="0" fontId="0" fillId="0" borderId="1" xfId="0" applyBorder="1" applyAlignment="1" applyProtection="1">
      <alignment textRotation="90"/>
    </xf>
    <xf numFmtId="0" fontId="0" fillId="0" borderId="2" xfId="0" applyBorder="1" applyAlignment="1" applyProtection="1">
      <alignment textRotation="90"/>
    </xf>
    <xf numFmtId="0" fontId="0" fillId="0" borderId="4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11" fillId="0" borderId="0" xfId="0" applyFont="1"/>
    <xf numFmtId="11" fontId="0" fillId="0" borderId="5" xfId="0" applyNumberFormat="1" applyBorder="1"/>
    <xf numFmtId="11" fontId="0" fillId="0" borderId="0" xfId="0" applyNumberForma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</cellXfs>
  <cellStyles count="1">
    <cellStyle name="Standard" xfId="0" builtinId="0"/>
  </cellStyles>
  <dxfs count="12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</dxf>
    <dxf>
      <font>
        <color theme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77779642883382E-2"/>
          <c:y val="6.142472854793566E-2"/>
          <c:w val="0.88718571891955822"/>
          <c:h val="0.749049999455462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Berechnungen!$J$136</c:f>
              <c:strCache>
                <c:ptCount val="1"/>
                <c:pt idx="0">
                  <c:v>Uncertaincy Std Accuracy</c:v>
                </c:pt>
              </c:strCache>
            </c:strRef>
          </c:tx>
          <c:marker>
            <c:symbol val="none"/>
          </c:marker>
          <c:xVal>
            <c:numRef>
              <c:f>Berechnungen!$D$137:$D$156</c:f>
              <c:numCache>
                <c:formatCode>General</c:formatCode>
                <c:ptCount val="20"/>
                <c:pt idx="0">
                  <c:v>65.606264989588652</c:v>
                </c:pt>
                <c:pt idx="1">
                  <c:v>131.2125299791773</c:v>
                </c:pt>
                <c:pt idx="2">
                  <c:v>196.81879496876596</c:v>
                </c:pt>
                <c:pt idx="3">
                  <c:v>262.42505995835461</c:v>
                </c:pt>
                <c:pt idx="4">
                  <c:v>328.03132494794323</c:v>
                </c:pt>
                <c:pt idx="5">
                  <c:v>393.63758993753186</c:v>
                </c:pt>
                <c:pt idx="6">
                  <c:v>459.24385492712048</c:v>
                </c:pt>
                <c:pt idx="7">
                  <c:v>524.8501199167091</c:v>
                </c:pt>
                <c:pt idx="8">
                  <c:v>590.45638490629779</c:v>
                </c:pt>
                <c:pt idx="9">
                  <c:v>656.06264989588635</c:v>
                </c:pt>
                <c:pt idx="10">
                  <c:v>721.66891488547503</c:v>
                </c:pt>
                <c:pt idx="11">
                  <c:v>787.27517987506371</c:v>
                </c:pt>
                <c:pt idx="12">
                  <c:v>852.88144486465239</c:v>
                </c:pt>
                <c:pt idx="13">
                  <c:v>918.48770985424119</c:v>
                </c:pt>
                <c:pt idx="14">
                  <c:v>984.09397484382987</c:v>
                </c:pt>
                <c:pt idx="15">
                  <c:v>1049.7002398334184</c:v>
                </c:pt>
                <c:pt idx="16">
                  <c:v>1115.3065048230073</c:v>
                </c:pt>
                <c:pt idx="17">
                  <c:v>1180.912769812596</c:v>
                </c:pt>
                <c:pt idx="18">
                  <c:v>1246.5190348021847</c:v>
                </c:pt>
                <c:pt idx="19">
                  <c:v>1312.1252997917732</c:v>
                </c:pt>
              </c:numCache>
            </c:numRef>
          </c:xVal>
          <c:yVal>
            <c:numRef>
              <c:f>Berechnungen!$J$137:$J$156</c:f>
              <c:numCache>
                <c:formatCode>0.00%</c:formatCode>
                <c:ptCount val="20"/>
                <c:pt idx="0">
                  <c:v>1.0680866679750269</c:v>
                </c:pt>
                <c:pt idx="1">
                  <c:v>0.36114307584398397</c:v>
                </c:pt>
                <c:pt idx="2">
                  <c:v>0.18402839787510003</c:v>
                </c:pt>
                <c:pt idx="3">
                  <c:v>0.11529274053609305</c:v>
                </c:pt>
                <c:pt idx="4">
                  <c:v>8.197286216808862E-2</c:v>
                </c:pt>
                <c:pt idx="5">
                  <c:v>6.3427298744343816E-2</c:v>
                </c:pt>
                <c:pt idx="6">
                  <c:v>5.2083873742600137E-2</c:v>
                </c:pt>
                <c:pt idx="7">
                  <c:v>4.4654354827893469E-2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  <c:pt idx="18">
                  <c:v>0.04</c:v>
                </c:pt>
                <c:pt idx="19">
                  <c:v>0.04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Berechnungen!$K$136</c:f>
              <c:strCache>
                <c:ptCount val="1"/>
                <c:pt idx="0">
                  <c:v>Uncertaincy High Accuracy</c:v>
                </c:pt>
              </c:strCache>
            </c:strRef>
          </c:tx>
          <c:marker>
            <c:symbol val="none"/>
          </c:marker>
          <c:xVal>
            <c:numRef>
              <c:f>Berechnungen!$D$137:$D$156</c:f>
              <c:numCache>
                <c:formatCode>General</c:formatCode>
                <c:ptCount val="20"/>
                <c:pt idx="0">
                  <c:v>65.606264989588652</c:v>
                </c:pt>
                <c:pt idx="1">
                  <c:v>131.2125299791773</c:v>
                </c:pt>
                <c:pt idx="2">
                  <c:v>196.81879496876596</c:v>
                </c:pt>
                <c:pt idx="3">
                  <c:v>262.42505995835461</c:v>
                </c:pt>
                <c:pt idx="4">
                  <c:v>328.03132494794323</c:v>
                </c:pt>
                <c:pt idx="5">
                  <c:v>393.63758993753186</c:v>
                </c:pt>
                <c:pt idx="6">
                  <c:v>459.24385492712048</c:v>
                </c:pt>
                <c:pt idx="7">
                  <c:v>524.8501199167091</c:v>
                </c:pt>
                <c:pt idx="8">
                  <c:v>590.45638490629779</c:v>
                </c:pt>
                <c:pt idx="9">
                  <c:v>656.06264989588635</c:v>
                </c:pt>
                <c:pt idx="10">
                  <c:v>721.66891488547503</c:v>
                </c:pt>
                <c:pt idx="11">
                  <c:v>787.27517987506371</c:v>
                </c:pt>
                <c:pt idx="12">
                  <c:v>852.88144486465239</c:v>
                </c:pt>
                <c:pt idx="13">
                  <c:v>918.48770985424119</c:v>
                </c:pt>
                <c:pt idx="14">
                  <c:v>984.09397484382987</c:v>
                </c:pt>
                <c:pt idx="15">
                  <c:v>1049.7002398334184</c:v>
                </c:pt>
                <c:pt idx="16">
                  <c:v>1115.3065048230073</c:v>
                </c:pt>
                <c:pt idx="17">
                  <c:v>1180.912769812596</c:v>
                </c:pt>
                <c:pt idx="18">
                  <c:v>1246.5190348021847</c:v>
                </c:pt>
                <c:pt idx="19">
                  <c:v>1312.1252997917732</c:v>
                </c:pt>
              </c:numCache>
            </c:numRef>
          </c:xVal>
          <c:yVal>
            <c:numRef>
              <c:f>Berechnungen!$K$137:$K$156</c:f>
              <c:numCache>
                <c:formatCode>0.00%</c:formatCode>
                <c:ptCount val="20"/>
                <c:pt idx="0">
                  <c:v>0.45697123603049783</c:v>
                </c:pt>
                <c:pt idx="1">
                  <c:v>0.14526511689234997</c:v>
                </c:pt>
                <c:pt idx="2">
                  <c:v>7.7506833872272182E-2</c:v>
                </c:pt>
                <c:pt idx="3">
                  <c:v>5.2741688818500373E-2</c:v>
                </c:pt>
                <c:pt idx="4">
                  <c:v>4.1075635458588597E-2</c:v>
                </c:pt>
                <c:pt idx="5">
                  <c:v>3.4682302950849384E-2</c:v>
                </c:pt>
                <c:pt idx="6">
                  <c:v>3.0807782986711257E-2</c:v>
                </c:pt>
                <c:pt idx="7">
                  <c:v>2.828510301200125E-2</c:v>
                </c:pt>
                <c:pt idx="8">
                  <c:v>2.6551908673398721E-2</c:v>
                </c:pt>
                <c:pt idx="9">
                  <c:v>2.5310331853696893E-2</c:v>
                </c:pt>
                <c:pt idx="10">
                  <c:v>2.4390717548378831E-2</c:v>
                </c:pt>
                <c:pt idx="11">
                  <c:v>2.3690711315198936E-2</c:v>
                </c:pt>
                <c:pt idx="12">
                  <c:v>2.3145603869741942E-2</c:v>
                </c:pt>
                <c:pt idx="13">
                  <c:v>2.2712866944783788E-2</c:v>
                </c:pt>
                <c:pt idx="14">
                  <c:v>2.2363620722271698E-2</c:v>
                </c:pt>
                <c:pt idx="15">
                  <c:v>2.2077697705612281E-2</c:v>
                </c:pt>
                <c:pt idx="16">
                  <c:v>2.1840669865456724E-2</c:v>
                </c:pt>
                <c:pt idx="17">
                  <c:v>2.1641995032913624E-2</c:v>
                </c:pt>
                <c:pt idx="18">
                  <c:v>2.1473825737654977E-2</c:v>
                </c:pt>
                <c:pt idx="19">
                  <c:v>2.1330223169633272E-2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Berechnungen!$L$136</c:f>
              <c:strCache>
                <c:ptCount val="1"/>
                <c:pt idx="0">
                  <c:v>Uncertaincy o.s. Std, Accuracy</c:v>
                </c:pt>
              </c:strCache>
            </c:strRef>
          </c:tx>
          <c:marker>
            <c:symbol val="none"/>
          </c:marker>
          <c:xVal>
            <c:numRef>
              <c:f>Berechnungen!$D$137:$D$156</c:f>
              <c:numCache>
                <c:formatCode>General</c:formatCode>
                <c:ptCount val="20"/>
                <c:pt idx="0">
                  <c:v>65.606264989588652</c:v>
                </c:pt>
                <c:pt idx="1">
                  <c:v>131.2125299791773</c:v>
                </c:pt>
                <c:pt idx="2">
                  <c:v>196.81879496876596</c:v>
                </c:pt>
                <c:pt idx="3">
                  <c:v>262.42505995835461</c:v>
                </c:pt>
                <c:pt idx="4">
                  <c:v>328.03132494794323</c:v>
                </c:pt>
                <c:pt idx="5">
                  <c:v>393.63758993753186</c:v>
                </c:pt>
                <c:pt idx="6">
                  <c:v>459.24385492712048</c:v>
                </c:pt>
                <c:pt idx="7">
                  <c:v>524.8501199167091</c:v>
                </c:pt>
                <c:pt idx="8">
                  <c:v>590.45638490629779</c:v>
                </c:pt>
                <c:pt idx="9">
                  <c:v>656.06264989588635</c:v>
                </c:pt>
                <c:pt idx="10">
                  <c:v>721.66891488547503</c:v>
                </c:pt>
                <c:pt idx="11">
                  <c:v>787.27517987506371</c:v>
                </c:pt>
                <c:pt idx="12">
                  <c:v>852.88144486465239</c:v>
                </c:pt>
                <c:pt idx="13">
                  <c:v>918.48770985424119</c:v>
                </c:pt>
                <c:pt idx="14">
                  <c:v>984.09397484382987</c:v>
                </c:pt>
                <c:pt idx="15">
                  <c:v>1049.7002398334184</c:v>
                </c:pt>
                <c:pt idx="16">
                  <c:v>1115.3065048230073</c:v>
                </c:pt>
                <c:pt idx="17">
                  <c:v>1180.912769812596</c:v>
                </c:pt>
                <c:pt idx="18">
                  <c:v>1246.5190348021847</c:v>
                </c:pt>
                <c:pt idx="19">
                  <c:v>1312.1252997917732</c:v>
                </c:pt>
              </c:numCache>
            </c:numRef>
          </c:xVal>
          <c:yVal>
            <c:numRef>
              <c:f>Berechnungen!$L$137:$L$156</c:f>
              <c:numCache>
                <c:formatCode>0.00%</c:formatCode>
                <c:ptCount val="20"/>
                <c:pt idx="0">
                  <c:v>5.3404333398751344E-3</c:v>
                </c:pt>
                <c:pt idx="1">
                  <c:v>3.6114307584398397E-3</c:v>
                </c:pt>
                <c:pt idx="2">
                  <c:v>2.7604259681265004E-3</c:v>
                </c:pt>
                <c:pt idx="3">
                  <c:v>2.3058548107218611E-3</c:v>
                </c:pt>
                <c:pt idx="4">
                  <c:v>2.0493215542022156E-3</c:v>
                </c:pt>
                <c:pt idx="5">
                  <c:v>1.9028189623303141E-3</c:v>
                </c:pt>
                <c:pt idx="6">
                  <c:v>1.8229355809910044E-3</c:v>
                </c:pt>
                <c:pt idx="7">
                  <c:v>1.7861741931157382E-3</c:v>
                </c:pt>
                <c:pt idx="8">
                  <c:v>1.7999999999999997E-3</c:v>
                </c:pt>
                <c:pt idx="9">
                  <c:v>1.9999999999999996E-3</c:v>
                </c:pt>
                <c:pt idx="10">
                  <c:v>2.1999999999999997E-3</c:v>
                </c:pt>
                <c:pt idx="11">
                  <c:v>2.3999999999999998E-3</c:v>
                </c:pt>
                <c:pt idx="12">
                  <c:v>2.5999999999999999E-3</c:v>
                </c:pt>
                <c:pt idx="13">
                  <c:v>2.8E-3</c:v>
                </c:pt>
                <c:pt idx="14">
                  <c:v>3.0000000000000001E-3</c:v>
                </c:pt>
                <c:pt idx="15">
                  <c:v>3.2000000000000002E-3</c:v>
                </c:pt>
                <c:pt idx="16">
                  <c:v>3.4000000000000007E-3</c:v>
                </c:pt>
                <c:pt idx="17">
                  <c:v>3.6000000000000008E-3</c:v>
                </c:pt>
                <c:pt idx="18">
                  <c:v>3.8000000000000009E-3</c:v>
                </c:pt>
                <c:pt idx="19">
                  <c:v>4.000000000000001E-3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Berechnungen!$M$136</c:f>
              <c:strCache>
                <c:ptCount val="1"/>
                <c:pt idx="0">
                  <c:v>Uncertaincy o.s. High Accuracy</c:v>
                </c:pt>
              </c:strCache>
            </c:strRef>
          </c:tx>
          <c:marker>
            <c:symbol val="none"/>
          </c:marker>
          <c:xVal>
            <c:numRef>
              <c:f>Berechnungen!$D$137:$D$156</c:f>
              <c:numCache>
                <c:formatCode>General</c:formatCode>
                <c:ptCount val="20"/>
                <c:pt idx="0">
                  <c:v>65.606264989588652</c:v>
                </c:pt>
                <c:pt idx="1">
                  <c:v>131.2125299791773</c:v>
                </c:pt>
                <c:pt idx="2">
                  <c:v>196.81879496876596</c:v>
                </c:pt>
                <c:pt idx="3">
                  <c:v>262.42505995835461</c:v>
                </c:pt>
                <c:pt idx="4">
                  <c:v>328.03132494794323</c:v>
                </c:pt>
                <c:pt idx="5">
                  <c:v>393.63758993753186</c:v>
                </c:pt>
                <c:pt idx="6">
                  <c:v>459.24385492712048</c:v>
                </c:pt>
                <c:pt idx="7">
                  <c:v>524.8501199167091</c:v>
                </c:pt>
                <c:pt idx="8">
                  <c:v>590.45638490629779</c:v>
                </c:pt>
                <c:pt idx="9">
                  <c:v>656.06264989588635</c:v>
                </c:pt>
                <c:pt idx="10">
                  <c:v>721.66891488547503</c:v>
                </c:pt>
                <c:pt idx="11">
                  <c:v>787.27517987506371</c:v>
                </c:pt>
                <c:pt idx="12">
                  <c:v>852.88144486465239</c:v>
                </c:pt>
                <c:pt idx="13">
                  <c:v>918.48770985424119</c:v>
                </c:pt>
                <c:pt idx="14">
                  <c:v>984.09397484382987</c:v>
                </c:pt>
                <c:pt idx="15">
                  <c:v>1049.7002398334184</c:v>
                </c:pt>
                <c:pt idx="16">
                  <c:v>1115.3065048230073</c:v>
                </c:pt>
                <c:pt idx="17">
                  <c:v>1180.912769812596</c:v>
                </c:pt>
                <c:pt idx="18">
                  <c:v>1246.5190348021847</c:v>
                </c:pt>
                <c:pt idx="19">
                  <c:v>1312.1252997917732</c:v>
                </c:pt>
              </c:numCache>
            </c:numRef>
          </c:xVal>
          <c:yVal>
            <c:numRef>
              <c:f>Berechnungen!$M$137:$M$156</c:f>
              <c:numCache>
                <c:formatCode>0.00%</c:formatCode>
                <c:ptCount val="20"/>
                <c:pt idx="0">
                  <c:v>2.2848561801524893E-3</c:v>
                </c:pt>
                <c:pt idx="1">
                  <c:v>1.4526511689234999E-3</c:v>
                </c:pt>
                <c:pt idx="2">
                  <c:v>1.1626025080840826E-3</c:v>
                </c:pt>
                <c:pt idx="3">
                  <c:v>1.0548337763700074E-3</c:v>
                </c:pt>
                <c:pt idx="4">
                  <c:v>1.0268908864647149E-3</c:v>
                </c:pt>
                <c:pt idx="5">
                  <c:v>1.0404690885254812E-3</c:v>
                </c:pt>
                <c:pt idx="6">
                  <c:v>1.0782724045348938E-3</c:v>
                </c:pt>
                <c:pt idx="7">
                  <c:v>1.1314041204800497E-3</c:v>
                </c:pt>
                <c:pt idx="8">
                  <c:v>1.1948358903029423E-3</c:v>
                </c:pt>
                <c:pt idx="9">
                  <c:v>1.2655165926848443E-3</c:v>
                </c:pt>
                <c:pt idx="10">
                  <c:v>1.3414894651608354E-3</c:v>
                </c:pt>
                <c:pt idx="11">
                  <c:v>1.4214426789119358E-3</c:v>
                </c:pt>
                <c:pt idx="12">
                  <c:v>1.504464251533226E-3</c:v>
                </c:pt>
                <c:pt idx="13">
                  <c:v>1.5899006861348651E-3</c:v>
                </c:pt>
                <c:pt idx="14">
                  <c:v>1.6772715541703775E-3</c:v>
                </c:pt>
                <c:pt idx="15">
                  <c:v>1.7662158164489824E-3</c:v>
                </c:pt>
                <c:pt idx="16">
                  <c:v>1.856456938563822E-3</c:v>
                </c:pt>
                <c:pt idx="17">
                  <c:v>1.9477795529622267E-3</c:v>
                </c:pt>
                <c:pt idx="18">
                  <c:v>2.0400134450772231E-3</c:v>
                </c:pt>
                <c:pt idx="19">
                  <c:v>2.1330223169633276E-3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719680"/>
        <c:axId val="231721216"/>
      </c:scatterChart>
      <c:valAx>
        <c:axId val="23171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1721216"/>
        <c:crosses val="autoZero"/>
        <c:crossBetween val="midCat"/>
      </c:valAx>
      <c:valAx>
        <c:axId val="231721216"/>
        <c:scaling>
          <c:orientation val="minMax"/>
          <c:max val="0.1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2317196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775630981488265"/>
          <c:y val="5.1408283508129954E-2"/>
          <c:w val="0.28826741492949709"/>
          <c:h val="0.40017512333779853"/>
        </c:manualLayout>
      </c:layout>
      <c:overlay val="0"/>
    </c:legend>
    <c:plotVisOnly val="1"/>
    <c:dispBlanksAs val="gap"/>
    <c:showDLblsOverMax val="0"/>
  </c:chart>
  <c:spPr>
    <a:ln w="22225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Berechnungen!$F$136</c:f>
              <c:strCache>
                <c:ptCount val="1"/>
                <c:pt idx="0">
                  <c:v>Fehler 0.3mbar</c:v>
                </c:pt>
              </c:strCache>
            </c:strRef>
          </c:tx>
          <c:marker>
            <c:symbol val="none"/>
          </c:marker>
          <c:xVal>
            <c:numRef>
              <c:f>Berechnungen!$D$137:$D$156</c:f>
              <c:numCache>
                <c:formatCode>General</c:formatCode>
                <c:ptCount val="20"/>
                <c:pt idx="0">
                  <c:v>65.606264989588652</c:v>
                </c:pt>
                <c:pt idx="1">
                  <c:v>131.2125299791773</c:v>
                </c:pt>
                <c:pt idx="2">
                  <c:v>196.81879496876596</c:v>
                </c:pt>
                <c:pt idx="3">
                  <c:v>262.42505995835461</c:v>
                </c:pt>
                <c:pt idx="4">
                  <c:v>328.03132494794323</c:v>
                </c:pt>
                <c:pt idx="5">
                  <c:v>393.63758993753186</c:v>
                </c:pt>
                <c:pt idx="6">
                  <c:v>459.24385492712048</c:v>
                </c:pt>
                <c:pt idx="7">
                  <c:v>524.8501199167091</c:v>
                </c:pt>
                <c:pt idx="8">
                  <c:v>590.45638490629779</c:v>
                </c:pt>
                <c:pt idx="9">
                  <c:v>656.06264989588635</c:v>
                </c:pt>
                <c:pt idx="10">
                  <c:v>721.66891488547503</c:v>
                </c:pt>
                <c:pt idx="11">
                  <c:v>787.27517987506371</c:v>
                </c:pt>
                <c:pt idx="12">
                  <c:v>852.88144486465239</c:v>
                </c:pt>
                <c:pt idx="13">
                  <c:v>918.48770985424119</c:v>
                </c:pt>
                <c:pt idx="14">
                  <c:v>984.09397484382987</c:v>
                </c:pt>
                <c:pt idx="15">
                  <c:v>1049.7002398334184</c:v>
                </c:pt>
                <c:pt idx="16">
                  <c:v>1115.3065048230073</c:v>
                </c:pt>
                <c:pt idx="17">
                  <c:v>1180.912769812596</c:v>
                </c:pt>
                <c:pt idx="18">
                  <c:v>1246.5190348021847</c:v>
                </c:pt>
                <c:pt idx="19">
                  <c:v>1312.1252997917732</c:v>
                </c:pt>
              </c:numCache>
            </c:numRef>
          </c:xVal>
          <c:yVal>
            <c:numRef>
              <c:f>Berechnungen!$J$137:$J$156</c:f>
              <c:numCache>
                <c:formatCode>0.00%</c:formatCode>
                <c:ptCount val="20"/>
                <c:pt idx="0">
                  <c:v>1.0680866679750269</c:v>
                </c:pt>
                <c:pt idx="1">
                  <c:v>0.36114307584398397</c:v>
                </c:pt>
                <c:pt idx="2">
                  <c:v>0.18402839787510003</c:v>
                </c:pt>
                <c:pt idx="3">
                  <c:v>0.11529274053609305</c:v>
                </c:pt>
                <c:pt idx="4">
                  <c:v>8.197286216808862E-2</c:v>
                </c:pt>
                <c:pt idx="5">
                  <c:v>6.3427298744343816E-2</c:v>
                </c:pt>
                <c:pt idx="6">
                  <c:v>5.2083873742600137E-2</c:v>
                </c:pt>
                <c:pt idx="7">
                  <c:v>4.4654354827893469E-2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  <c:pt idx="18">
                  <c:v>0.04</c:v>
                </c:pt>
                <c:pt idx="19">
                  <c:v>0.04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Berechnungen!$G$136</c:f>
              <c:strCache>
                <c:ptCount val="1"/>
                <c:pt idx="0">
                  <c:v>Fehler 0,1 mbar</c:v>
                </c:pt>
              </c:strCache>
            </c:strRef>
          </c:tx>
          <c:marker>
            <c:symbol val="none"/>
          </c:marker>
          <c:xVal>
            <c:numRef>
              <c:f>Berechnungen!$D$137:$D$156</c:f>
              <c:numCache>
                <c:formatCode>General</c:formatCode>
                <c:ptCount val="20"/>
                <c:pt idx="0">
                  <c:v>65.606264989588652</c:v>
                </c:pt>
                <c:pt idx="1">
                  <c:v>131.2125299791773</c:v>
                </c:pt>
                <c:pt idx="2">
                  <c:v>196.81879496876596</c:v>
                </c:pt>
                <c:pt idx="3">
                  <c:v>262.42505995835461</c:v>
                </c:pt>
                <c:pt idx="4">
                  <c:v>328.03132494794323</c:v>
                </c:pt>
                <c:pt idx="5">
                  <c:v>393.63758993753186</c:v>
                </c:pt>
                <c:pt idx="6">
                  <c:v>459.24385492712048</c:v>
                </c:pt>
                <c:pt idx="7">
                  <c:v>524.8501199167091</c:v>
                </c:pt>
                <c:pt idx="8">
                  <c:v>590.45638490629779</c:v>
                </c:pt>
                <c:pt idx="9">
                  <c:v>656.06264989588635</c:v>
                </c:pt>
                <c:pt idx="10">
                  <c:v>721.66891488547503</c:v>
                </c:pt>
                <c:pt idx="11">
                  <c:v>787.27517987506371</c:v>
                </c:pt>
                <c:pt idx="12">
                  <c:v>852.88144486465239</c:v>
                </c:pt>
                <c:pt idx="13">
                  <c:v>918.48770985424119</c:v>
                </c:pt>
                <c:pt idx="14">
                  <c:v>984.09397484382987</c:v>
                </c:pt>
                <c:pt idx="15">
                  <c:v>1049.7002398334184</c:v>
                </c:pt>
                <c:pt idx="16">
                  <c:v>1115.3065048230073</c:v>
                </c:pt>
                <c:pt idx="17">
                  <c:v>1180.912769812596</c:v>
                </c:pt>
                <c:pt idx="18">
                  <c:v>1246.5190348021847</c:v>
                </c:pt>
                <c:pt idx="19">
                  <c:v>1312.1252997917732</c:v>
                </c:pt>
              </c:numCache>
            </c:numRef>
          </c:xVal>
          <c:yVal>
            <c:numRef>
              <c:f>Berechnungen!$K$137:$K$156</c:f>
              <c:numCache>
                <c:formatCode>0.00%</c:formatCode>
                <c:ptCount val="20"/>
                <c:pt idx="0">
                  <c:v>0.45697123603049783</c:v>
                </c:pt>
                <c:pt idx="1">
                  <c:v>0.14526511689234997</c:v>
                </c:pt>
                <c:pt idx="2">
                  <c:v>7.7506833872272182E-2</c:v>
                </c:pt>
                <c:pt idx="3">
                  <c:v>5.2741688818500373E-2</c:v>
                </c:pt>
                <c:pt idx="4">
                  <c:v>4.1075635458588597E-2</c:v>
                </c:pt>
                <c:pt idx="5">
                  <c:v>3.4682302950849384E-2</c:v>
                </c:pt>
                <c:pt idx="6">
                  <c:v>3.0807782986711257E-2</c:v>
                </c:pt>
                <c:pt idx="7">
                  <c:v>2.828510301200125E-2</c:v>
                </c:pt>
                <c:pt idx="8">
                  <c:v>2.6551908673398721E-2</c:v>
                </c:pt>
                <c:pt idx="9">
                  <c:v>2.5310331853696893E-2</c:v>
                </c:pt>
                <c:pt idx="10">
                  <c:v>2.4390717548378831E-2</c:v>
                </c:pt>
                <c:pt idx="11">
                  <c:v>2.3690711315198936E-2</c:v>
                </c:pt>
                <c:pt idx="12">
                  <c:v>2.3145603869741942E-2</c:v>
                </c:pt>
                <c:pt idx="13">
                  <c:v>2.2712866944783788E-2</c:v>
                </c:pt>
                <c:pt idx="14">
                  <c:v>2.2363620722271698E-2</c:v>
                </c:pt>
                <c:pt idx="15">
                  <c:v>2.2077697705612281E-2</c:v>
                </c:pt>
                <c:pt idx="16">
                  <c:v>2.1840669865456724E-2</c:v>
                </c:pt>
                <c:pt idx="17">
                  <c:v>2.1641995032913624E-2</c:v>
                </c:pt>
                <c:pt idx="18">
                  <c:v>2.1473825737654977E-2</c:v>
                </c:pt>
                <c:pt idx="19">
                  <c:v>2.1330223169633272E-2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Berechnungen!$L$136</c:f>
              <c:strCache>
                <c:ptCount val="1"/>
                <c:pt idx="0">
                  <c:v>Uncertaincy o.s. Std, Accuracy</c:v>
                </c:pt>
              </c:strCache>
            </c:strRef>
          </c:tx>
          <c:marker>
            <c:symbol val="none"/>
          </c:marker>
          <c:xVal>
            <c:numRef>
              <c:f>Berechnungen!$D$137:$D$156</c:f>
              <c:numCache>
                <c:formatCode>General</c:formatCode>
                <c:ptCount val="20"/>
                <c:pt idx="0">
                  <c:v>65.606264989588652</c:v>
                </c:pt>
                <c:pt idx="1">
                  <c:v>131.2125299791773</c:v>
                </c:pt>
                <c:pt idx="2">
                  <c:v>196.81879496876596</c:v>
                </c:pt>
                <c:pt idx="3">
                  <c:v>262.42505995835461</c:v>
                </c:pt>
                <c:pt idx="4">
                  <c:v>328.03132494794323</c:v>
                </c:pt>
                <c:pt idx="5">
                  <c:v>393.63758993753186</c:v>
                </c:pt>
                <c:pt idx="6">
                  <c:v>459.24385492712048</c:v>
                </c:pt>
                <c:pt idx="7">
                  <c:v>524.8501199167091</c:v>
                </c:pt>
                <c:pt idx="8">
                  <c:v>590.45638490629779</c:v>
                </c:pt>
                <c:pt idx="9">
                  <c:v>656.06264989588635</c:v>
                </c:pt>
                <c:pt idx="10">
                  <c:v>721.66891488547503</c:v>
                </c:pt>
                <c:pt idx="11">
                  <c:v>787.27517987506371</c:v>
                </c:pt>
                <c:pt idx="12">
                  <c:v>852.88144486465239</c:v>
                </c:pt>
                <c:pt idx="13">
                  <c:v>918.48770985424119</c:v>
                </c:pt>
                <c:pt idx="14">
                  <c:v>984.09397484382987</c:v>
                </c:pt>
                <c:pt idx="15">
                  <c:v>1049.7002398334184</c:v>
                </c:pt>
                <c:pt idx="16">
                  <c:v>1115.3065048230073</c:v>
                </c:pt>
                <c:pt idx="17">
                  <c:v>1180.912769812596</c:v>
                </c:pt>
                <c:pt idx="18">
                  <c:v>1246.5190348021847</c:v>
                </c:pt>
                <c:pt idx="19">
                  <c:v>1312.1252997917732</c:v>
                </c:pt>
              </c:numCache>
            </c:numRef>
          </c:xVal>
          <c:yVal>
            <c:numRef>
              <c:f>Berechnungen!$L$136:$L$156</c:f>
              <c:numCache>
                <c:formatCode>0.00%</c:formatCode>
                <c:ptCount val="21"/>
                <c:pt idx="0" formatCode="General">
                  <c:v>0</c:v>
                </c:pt>
                <c:pt idx="1">
                  <c:v>5.3404333398751344E-3</c:v>
                </c:pt>
                <c:pt idx="2">
                  <c:v>3.6114307584398397E-3</c:v>
                </c:pt>
                <c:pt idx="3">
                  <c:v>2.7604259681265004E-3</c:v>
                </c:pt>
                <c:pt idx="4">
                  <c:v>2.3058548107218611E-3</c:v>
                </c:pt>
                <c:pt idx="5">
                  <c:v>2.0493215542022156E-3</c:v>
                </c:pt>
                <c:pt idx="6">
                  <c:v>1.9028189623303141E-3</c:v>
                </c:pt>
                <c:pt idx="7">
                  <c:v>1.8229355809910044E-3</c:v>
                </c:pt>
                <c:pt idx="8">
                  <c:v>1.7861741931157382E-3</c:v>
                </c:pt>
                <c:pt idx="9">
                  <c:v>1.7999999999999997E-3</c:v>
                </c:pt>
                <c:pt idx="10">
                  <c:v>1.9999999999999996E-3</c:v>
                </c:pt>
                <c:pt idx="11">
                  <c:v>2.1999999999999997E-3</c:v>
                </c:pt>
                <c:pt idx="12">
                  <c:v>2.3999999999999998E-3</c:v>
                </c:pt>
                <c:pt idx="13">
                  <c:v>2.5999999999999999E-3</c:v>
                </c:pt>
                <c:pt idx="14">
                  <c:v>2.8E-3</c:v>
                </c:pt>
                <c:pt idx="15">
                  <c:v>3.0000000000000001E-3</c:v>
                </c:pt>
                <c:pt idx="16">
                  <c:v>3.2000000000000002E-3</c:v>
                </c:pt>
                <c:pt idx="17">
                  <c:v>3.4000000000000007E-3</c:v>
                </c:pt>
                <c:pt idx="18">
                  <c:v>3.6000000000000008E-3</c:v>
                </c:pt>
                <c:pt idx="19">
                  <c:v>3.8000000000000009E-3</c:v>
                </c:pt>
                <c:pt idx="20">
                  <c:v>4.000000000000001E-3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Berechnungen!$M$136</c:f>
              <c:strCache>
                <c:ptCount val="1"/>
                <c:pt idx="0">
                  <c:v>Uncertaincy o.s. High Accuracy</c:v>
                </c:pt>
              </c:strCache>
            </c:strRef>
          </c:tx>
          <c:marker>
            <c:symbol val="none"/>
          </c:marker>
          <c:xVal>
            <c:numRef>
              <c:f>Berechnungen!$D$137:$D$156</c:f>
              <c:numCache>
                <c:formatCode>General</c:formatCode>
                <c:ptCount val="20"/>
                <c:pt idx="0">
                  <c:v>65.606264989588652</c:v>
                </c:pt>
                <c:pt idx="1">
                  <c:v>131.2125299791773</c:v>
                </c:pt>
                <c:pt idx="2">
                  <c:v>196.81879496876596</c:v>
                </c:pt>
                <c:pt idx="3">
                  <c:v>262.42505995835461</c:v>
                </c:pt>
                <c:pt idx="4">
                  <c:v>328.03132494794323</c:v>
                </c:pt>
                <c:pt idx="5">
                  <c:v>393.63758993753186</c:v>
                </c:pt>
                <c:pt idx="6">
                  <c:v>459.24385492712048</c:v>
                </c:pt>
                <c:pt idx="7">
                  <c:v>524.8501199167091</c:v>
                </c:pt>
                <c:pt idx="8">
                  <c:v>590.45638490629779</c:v>
                </c:pt>
                <c:pt idx="9">
                  <c:v>656.06264989588635</c:v>
                </c:pt>
                <c:pt idx="10">
                  <c:v>721.66891488547503</c:v>
                </c:pt>
                <c:pt idx="11">
                  <c:v>787.27517987506371</c:v>
                </c:pt>
                <c:pt idx="12">
                  <c:v>852.88144486465239</c:v>
                </c:pt>
                <c:pt idx="13">
                  <c:v>918.48770985424119</c:v>
                </c:pt>
                <c:pt idx="14">
                  <c:v>984.09397484382987</c:v>
                </c:pt>
                <c:pt idx="15">
                  <c:v>1049.7002398334184</c:v>
                </c:pt>
                <c:pt idx="16">
                  <c:v>1115.3065048230073</c:v>
                </c:pt>
                <c:pt idx="17">
                  <c:v>1180.912769812596</c:v>
                </c:pt>
                <c:pt idx="18">
                  <c:v>1246.5190348021847</c:v>
                </c:pt>
                <c:pt idx="19">
                  <c:v>1312.1252997917732</c:v>
                </c:pt>
              </c:numCache>
            </c:numRef>
          </c:xVal>
          <c:yVal>
            <c:numRef>
              <c:f>Berechnungen!$M$137:$M$156</c:f>
              <c:numCache>
                <c:formatCode>0.00%</c:formatCode>
                <c:ptCount val="20"/>
                <c:pt idx="0">
                  <c:v>2.2848561801524893E-3</c:v>
                </c:pt>
                <c:pt idx="1">
                  <c:v>1.4526511689234999E-3</c:v>
                </c:pt>
                <c:pt idx="2">
                  <c:v>1.1626025080840826E-3</c:v>
                </c:pt>
                <c:pt idx="3">
                  <c:v>1.0548337763700074E-3</c:v>
                </c:pt>
                <c:pt idx="4">
                  <c:v>1.0268908864647149E-3</c:v>
                </c:pt>
                <c:pt idx="5">
                  <c:v>1.0404690885254812E-3</c:v>
                </c:pt>
                <c:pt idx="6">
                  <c:v>1.0782724045348938E-3</c:v>
                </c:pt>
                <c:pt idx="7">
                  <c:v>1.1314041204800497E-3</c:v>
                </c:pt>
                <c:pt idx="8">
                  <c:v>1.1948358903029423E-3</c:v>
                </c:pt>
                <c:pt idx="9">
                  <c:v>1.2655165926848443E-3</c:v>
                </c:pt>
                <c:pt idx="10">
                  <c:v>1.3414894651608354E-3</c:v>
                </c:pt>
                <c:pt idx="11">
                  <c:v>1.4214426789119358E-3</c:v>
                </c:pt>
                <c:pt idx="12">
                  <c:v>1.504464251533226E-3</c:v>
                </c:pt>
                <c:pt idx="13">
                  <c:v>1.5899006861348651E-3</c:v>
                </c:pt>
                <c:pt idx="14">
                  <c:v>1.6772715541703775E-3</c:v>
                </c:pt>
                <c:pt idx="15">
                  <c:v>1.7662158164489824E-3</c:v>
                </c:pt>
                <c:pt idx="16">
                  <c:v>1.856456938563822E-3</c:v>
                </c:pt>
                <c:pt idx="17">
                  <c:v>1.9477795529622267E-3</c:v>
                </c:pt>
                <c:pt idx="18">
                  <c:v>2.0400134450772231E-3</c:v>
                </c:pt>
                <c:pt idx="19">
                  <c:v>2.1330223169633276E-3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120512"/>
        <c:axId val="233122048"/>
      </c:scatterChart>
      <c:valAx>
        <c:axId val="23312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3122048"/>
        <c:crosses val="autoZero"/>
        <c:crossBetween val="midCat"/>
      </c:valAx>
      <c:valAx>
        <c:axId val="233122048"/>
        <c:scaling>
          <c:orientation val="minMax"/>
          <c:max val="0.1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331205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Berechnungen!$C$3" fmlaRange="Berechnungen!$B$3:$B$9" noThreeD="1" val="0"/>
</file>

<file path=xl/ctrlProps/ctrlProp2.xml><?xml version="1.0" encoding="utf-8"?>
<formControlPr xmlns="http://schemas.microsoft.com/office/spreadsheetml/2009/9/main" objectType="Drop" dropStyle="combo" dx="16" fmlaLink="Berechnungen!$E$3" fmlaRange="Berechnungen!$D$3:$D$4" noThreeD="1" val="0"/>
</file>

<file path=xl/ctrlProps/ctrlProp3.xml><?xml version="1.0" encoding="utf-8"?>
<formControlPr xmlns="http://schemas.microsoft.com/office/spreadsheetml/2009/9/main" objectType="Drop" dropStyle="combo" dx="16" fmlaLink="Berechnungen!$G$3" fmlaRange="Berechnungen!$F$3:$F$4" noThreeD="1" sel="2" val="0"/>
</file>

<file path=xl/ctrlProps/ctrlProp4.xml><?xml version="1.0" encoding="utf-8"?>
<formControlPr xmlns="http://schemas.microsoft.com/office/spreadsheetml/2009/9/main" objectType="Drop" dropStyle="combo" dx="16" fmlaLink="Berechnungen!$I$3" fmlaRange="Berechnungen!$H$3:$H$4" noThreeD="1" val="0"/>
</file>

<file path=xl/ctrlProps/ctrlProp5.xml><?xml version="1.0" encoding="utf-8"?>
<formControlPr xmlns="http://schemas.microsoft.com/office/spreadsheetml/2009/9/main" objectType="Drop" dropStyle="combo" dx="16" fmlaLink="Berechnungen!$K$3" fmlaRange="Berechnungen!$J$3:$J$9" noThreeD="1" val="0"/>
</file>

<file path=xl/ctrlProps/ctrlProp6.xml><?xml version="1.0" encoding="utf-8"?>
<formControlPr xmlns="http://schemas.microsoft.com/office/spreadsheetml/2009/9/main" objectType="Drop" dropStyle="combo" dx="16" fmlaLink="Berechnungen!$M$3" fmlaRange="Berechnungen!$L$3:$L$12" noThreeD="1" sel="4" val="2"/>
</file>

<file path=xl/ctrlProps/ctrlProp7.xml><?xml version="1.0" encoding="utf-8"?>
<formControlPr xmlns="http://schemas.microsoft.com/office/spreadsheetml/2009/9/main" objectType="Drop" dropStyle="combo" dx="16" fmlaLink="Berechnungen!$O$3" fmlaRange="Berechnungen!$N$3:$N$6" noThreeD="1" sel="3" val="0"/>
</file>

<file path=xl/ctrlProps/ctrlProp8.xml><?xml version="1.0" encoding="utf-8"?>
<formControlPr xmlns="http://schemas.microsoft.com/office/spreadsheetml/2009/9/main" objectType="Drop" dropStyle="combo" dx="16" fmlaLink="Berechnungen!$Q$3" fmlaRange="Berechnungen!$P$3:$P$4" noThreeD="1" sel="2" val="0"/>
</file>

<file path=xl/ctrlProps/ctrlProp9.xml><?xml version="1.0" encoding="utf-8"?>
<formControlPr xmlns="http://schemas.microsoft.com/office/spreadsheetml/2009/9/main" objectType="Drop" dropStyle="combo" dx="16" fmlaLink="Berechnungen!$S$3" fmlaRange="Berechnungen!$R$3:$R$4" noThreeD="1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47625</xdr:rowOff>
        </xdr:from>
        <xdr:to>
          <xdr:col>2</xdr:col>
          <xdr:colOff>561975</xdr:colOff>
          <xdr:row>4</xdr:row>
          <xdr:rowOff>266700</xdr:rowOff>
        </xdr:to>
        <xdr:sp macro="" textlink="">
          <xdr:nvSpPr>
            <xdr:cNvPr id="1027" name="dropdown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</xdr:row>
          <xdr:rowOff>47625</xdr:rowOff>
        </xdr:from>
        <xdr:to>
          <xdr:col>3</xdr:col>
          <xdr:colOff>561975</xdr:colOff>
          <xdr:row>4</xdr:row>
          <xdr:rowOff>266700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</xdr:row>
          <xdr:rowOff>47625</xdr:rowOff>
        </xdr:from>
        <xdr:to>
          <xdr:col>5</xdr:col>
          <xdr:colOff>571500</xdr:colOff>
          <xdr:row>4</xdr:row>
          <xdr:rowOff>266700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</xdr:row>
          <xdr:rowOff>47625</xdr:rowOff>
        </xdr:from>
        <xdr:to>
          <xdr:col>4</xdr:col>
          <xdr:colOff>590550</xdr:colOff>
          <xdr:row>4</xdr:row>
          <xdr:rowOff>266700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104775</xdr:rowOff>
        </xdr:from>
        <xdr:to>
          <xdr:col>3</xdr:col>
          <xdr:colOff>495300</xdr:colOff>
          <xdr:row>6</xdr:row>
          <xdr:rowOff>323850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47625</xdr:rowOff>
        </xdr:from>
        <xdr:to>
          <xdr:col>7</xdr:col>
          <xdr:colOff>647700</xdr:colOff>
          <xdr:row>10</xdr:row>
          <xdr:rowOff>266700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</xdr:row>
          <xdr:rowOff>57150</xdr:rowOff>
        </xdr:from>
        <xdr:to>
          <xdr:col>3</xdr:col>
          <xdr:colOff>495300</xdr:colOff>
          <xdr:row>12</xdr:row>
          <xdr:rowOff>276225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13</xdr:row>
          <xdr:rowOff>47625</xdr:rowOff>
        </xdr:from>
        <xdr:to>
          <xdr:col>3</xdr:col>
          <xdr:colOff>495300</xdr:colOff>
          <xdr:row>13</xdr:row>
          <xdr:rowOff>266700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38100</xdr:rowOff>
        </xdr:from>
        <xdr:to>
          <xdr:col>3</xdr:col>
          <xdr:colOff>495300</xdr:colOff>
          <xdr:row>14</xdr:row>
          <xdr:rowOff>257175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7</xdr:col>
      <xdr:colOff>381000</xdr:colOff>
      <xdr:row>0</xdr:row>
      <xdr:rowOff>9525</xdr:rowOff>
    </xdr:from>
    <xdr:to>
      <xdr:col>9</xdr:col>
      <xdr:colOff>39370</xdr:colOff>
      <xdr:row>2</xdr:row>
      <xdr:rowOff>133349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9525"/>
          <a:ext cx="1817370" cy="504824"/>
        </a:xfrm>
        <a:prstGeom prst="rect">
          <a:avLst/>
        </a:prstGeom>
      </xdr:spPr>
    </xdr:pic>
    <xdr:clientData/>
  </xdr:twoCellAnchor>
  <xdr:twoCellAnchor>
    <xdr:from>
      <xdr:col>0</xdr:col>
      <xdr:colOff>314324</xdr:colOff>
      <xdr:row>42</xdr:row>
      <xdr:rowOff>0</xdr:rowOff>
    </xdr:from>
    <xdr:to>
      <xdr:col>10</xdr:col>
      <xdr:colOff>0</xdr:colOff>
      <xdr:row>54</xdr:row>
      <xdr:rowOff>9525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0.70413</cdr:x>
      <cdr:y>0.90871</cdr:y>
    </cdr:from>
    <cdr:to>
      <cdr:x>0.84068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714876" y="2085975"/>
          <a:ext cx="914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0.23044</cdr:x>
      <cdr:y>0.60166</cdr:y>
    </cdr:from>
    <cdr:to>
      <cdr:x>0.367</cdr:x>
      <cdr:y>1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543051" y="21145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0.77383</cdr:x>
      <cdr:y>0.89212</cdr:y>
    </cdr:from>
    <cdr:to>
      <cdr:x>0.99294</cdr:x>
      <cdr:y>0.98847</cdr:y>
    </cdr:to>
    <cdr:sp macro="" textlink="Eingaben!$E$18">
      <cdr:nvSpPr>
        <cdr:cNvPr id="5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181601" y="2047875"/>
          <a:ext cx="1467172" cy="221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fld id="{E051386F-BFB9-4885-B700-517D93CA820D}" type="TxLink"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pPr algn="r" rtl="0">
              <a:defRPr sz="1000"/>
            </a:pPr>
            <a:t>Nm³/h</a:t>
          </a:fld>
          <a:endParaRPr lang="de-DE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72736</xdr:colOff>
      <xdr:row>14</xdr:row>
      <xdr:rowOff>36368</xdr:rowOff>
    </xdr:from>
    <xdr:ext cx="4895850" cy="1125693"/>
    <xdr:sp macro="" textlink="">
      <xdr:nvSpPr>
        <xdr:cNvPr id="2" name="Textfeld 1"/>
        <xdr:cNvSpPr txBox="1"/>
      </xdr:nvSpPr>
      <xdr:spPr>
        <a:xfrm>
          <a:off x="4748645" y="2720686"/>
          <a:ext cx="4895850" cy="1125693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/>
            <a:t>Venturi</a:t>
          </a:r>
          <a:r>
            <a:rPr lang="de-DE" sz="1100" baseline="0"/>
            <a:t> typen, Messbereiche aus Versuchen mit Luft</a:t>
          </a:r>
        </a:p>
        <a:p>
          <a:r>
            <a:rPr lang="de-DE" sz="1100" baseline="0"/>
            <a:t>Sonden als Polynom aus Versuchen, X-Achse ID^2, yAchse Messbereichsendwert, Da ein Polynom vor allem im unteren ID Berech nicht gut passt, gibt's 3 Polynome für kleine (&lt;50mm), mittlere (&lt;200mm) und große Leitingen (&gt;200mm) </a:t>
          </a:r>
        </a:p>
        <a:p>
          <a:r>
            <a:rPr lang="de-DE" sz="1100" baseline="0"/>
            <a:t>Die Polynome wurden mit Cuveexpert ermittelt. Wenn neue Versuche vorliegen,m müssen die Polynome neu ermittelt werden</a:t>
          </a:r>
        </a:p>
      </xdr:txBody>
    </xdr:sp>
    <xdr:clientData/>
  </xdr:oneCellAnchor>
  <xdr:oneCellAnchor>
    <xdr:from>
      <xdr:col>5</xdr:col>
      <xdr:colOff>66675</xdr:colOff>
      <xdr:row>67</xdr:row>
      <xdr:rowOff>123825</xdr:rowOff>
    </xdr:from>
    <xdr:ext cx="5734050" cy="264560"/>
    <xdr:sp macro="" textlink="">
      <xdr:nvSpPr>
        <xdr:cNvPr id="3" name="Textfeld 2"/>
        <xdr:cNvSpPr txBox="1"/>
      </xdr:nvSpPr>
      <xdr:spPr>
        <a:xfrm>
          <a:off x="3876675" y="12734925"/>
          <a:ext cx="5734050" cy="264560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/>
            <a:t>Umrechnungsfaktor  Durchfluss von Standardeinheit (kg/h] auf Usereinheit </a:t>
          </a:r>
        </a:p>
      </xdr:txBody>
    </xdr:sp>
    <xdr:clientData/>
  </xdr:oneCellAnchor>
  <xdr:oneCellAnchor>
    <xdr:from>
      <xdr:col>8</xdr:col>
      <xdr:colOff>104775</xdr:colOff>
      <xdr:row>104</xdr:row>
      <xdr:rowOff>28575</xdr:rowOff>
    </xdr:from>
    <xdr:ext cx="5189947" cy="1814599"/>
    <xdr:sp macro="" textlink="">
      <xdr:nvSpPr>
        <xdr:cNvPr id="4" name="Textfeld 3"/>
        <xdr:cNvSpPr txBox="1"/>
      </xdr:nvSpPr>
      <xdr:spPr>
        <a:xfrm>
          <a:off x="6334125" y="19135725"/>
          <a:ext cx="5189947" cy="1814599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Berechnung von Druckverlusten und Expansionszahlen bei 400mbar</a:t>
          </a:r>
          <a:br>
            <a:rPr lang="de-DE" sz="1100"/>
          </a:br>
          <a:r>
            <a:rPr lang="de-DE" sz="1100"/>
            <a:t>Werte bei Sonden sind aus DF12 deltacalc</a:t>
          </a:r>
          <a:r>
            <a:rPr lang="de-DE" sz="1100" baseline="0"/>
            <a:t> bis 100mm übernommen, </a:t>
          </a:r>
        </a:p>
        <a:p>
          <a:r>
            <a:rPr lang="de-DE" sz="1100" baseline="0"/>
            <a:t>bei größeren Durchmessern wurde der Druckverlust Reduziert wegen v</a:t>
          </a:r>
        </a:p>
        <a:p>
          <a:r>
            <a:rPr lang="de-DE" sz="1100" baseline="0"/>
            <a:t>erkürzter Einbaulänge. Die Expansionszahl wurde ebenfalls von DF12 Übernommen.</a:t>
          </a:r>
          <a:br>
            <a:rPr lang="de-DE" sz="1100" baseline="0"/>
          </a:br>
          <a:r>
            <a:rPr lang="de-DE" sz="1100" baseline="0"/>
            <a:t>Die Polynome wurde mit CurveExpert ermittelt</a:t>
          </a:r>
        </a:p>
        <a:p>
          <a:endParaRPr lang="de-DE" sz="1100" baseline="0"/>
        </a:p>
        <a:p>
          <a:r>
            <a:rPr lang="de-DE" sz="1100" baseline="0"/>
            <a:t>Für Venturis wurde beides zunächst aus ISO-Berechnung übernommen.</a:t>
          </a:r>
          <a:br>
            <a:rPr lang="de-DE" sz="1100" baseline="0"/>
          </a:br>
          <a:endParaRPr lang="de-DE" sz="1100" baseline="0"/>
        </a:p>
        <a:p>
          <a:r>
            <a:rPr lang="de-DE" sz="1100" baseline="0"/>
            <a:t>Die Drucklverluste und Expansionszahlen beziehen sich auf Normluft (0°C, 101,325 kPa)</a:t>
          </a:r>
        </a:p>
        <a:p>
          <a:r>
            <a:rPr lang="de-DE" sz="1100" baseline="0"/>
            <a:t>  </a:t>
          </a:r>
          <a:endParaRPr lang="de-DE" sz="1100"/>
        </a:p>
      </xdr:txBody>
    </xdr:sp>
    <xdr:clientData/>
  </xdr:oneCellAnchor>
  <xdr:twoCellAnchor>
    <xdr:from>
      <xdr:col>14</xdr:col>
      <xdr:colOff>485775</xdr:colOff>
      <xdr:row>136</xdr:row>
      <xdr:rowOff>76200</xdr:rowOff>
    </xdr:from>
    <xdr:to>
      <xdr:col>20</xdr:col>
      <xdr:colOff>485775</xdr:colOff>
      <xdr:row>150</xdr:row>
      <xdr:rowOff>152400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25</xdr:col>
      <xdr:colOff>0</xdr:colOff>
      <xdr:row>183</xdr:row>
      <xdr:rowOff>95250</xdr:rowOff>
    </xdr:to>
    <xdr:sp macro="" textlink="">
      <xdr:nvSpPr>
        <xdr:cNvPr id="9" name="Rechteck 8"/>
        <xdr:cNvSpPr/>
      </xdr:nvSpPr>
      <xdr:spPr>
        <a:xfrm>
          <a:off x="0" y="0"/>
          <a:ext cx="19050000" cy="34956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p@Operational%20Flow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2:J59"/>
  <sheetViews>
    <sheetView showGridLines="0" tabSelected="1" zoomScale="120" zoomScaleNormal="120" workbookViewId="0">
      <selection activeCell="E12" sqref="E12"/>
    </sheetView>
  </sheetViews>
  <sheetFormatPr baseColWidth="10" defaultRowHeight="15" x14ac:dyDescent="0.25"/>
  <cols>
    <col min="1" max="1" width="4.7109375" customWidth="1"/>
    <col min="2" max="2" width="15.42578125" customWidth="1"/>
    <col min="3" max="6" width="9" customWidth="1"/>
    <col min="7" max="7" width="11.28515625" customWidth="1"/>
    <col min="8" max="8" width="14" customWidth="1"/>
    <col min="9" max="9" width="18.28515625" customWidth="1"/>
    <col min="10" max="10" width="6.85546875" customWidth="1"/>
    <col min="11" max="11" width="3.140625" customWidth="1"/>
  </cols>
  <sheetData>
    <row r="2" spans="2:10" x14ac:dyDescent="0.25">
      <c r="C2" s="25"/>
      <c r="D2" s="25"/>
      <c r="E2" s="25"/>
      <c r="F2" s="25"/>
    </row>
    <row r="3" spans="2:10" ht="15.75" thickBot="1" x14ac:dyDescent="0.3">
      <c r="B3" s="57" t="s">
        <v>130</v>
      </c>
      <c r="C3" s="57"/>
      <c r="D3" s="57"/>
      <c r="E3" s="57"/>
    </row>
    <row r="4" spans="2:10" s="1" customFormat="1" ht="77.25" x14ac:dyDescent="0.25">
      <c r="B4" s="46"/>
      <c r="C4" s="47" t="s">
        <v>0</v>
      </c>
      <c r="D4" s="47" t="s">
        <v>7</v>
      </c>
      <c r="E4" s="47" t="s">
        <v>12</v>
      </c>
      <c r="F4" s="47" t="s">
        <v>11</v>
      </c>
      <c r="G4" s="47"/>
      <c r="H4" s="20"/>
      <c r="I4" s="20"/>
      <c r="J4" s="21"/>
    </row>
    <row r="5" spans="2:10" ht="22.5" customHeight="1" x14ac:dyDescent="0.25">
      <c r="B5" s="48" t="s">
        <v>1</v>
      </c>
      <c r="C5" s="49"/>
      <c r="D5" s="49"/>
      <c r="E5" s="49"/>
      <c r="F5" s="49"/>
      <c r="G5" s="49"/>
      <c r="H5" s="59" t="s">
        <v>138</v>
      </c>
      <c r="I5" s="59"/>
      <c r="J5" s="7"/>
    </row>
    <row r="6" spans="2:10" ht="16.5" customHeight="1" x14ac:dyDescent="0.25">
      <c r="B6" s="5"/>
      <c r="C6" s="22" t="s">
        <v>34</v>
      </c>
      <c r="D6" s="6"/>
      <c r="E6" s="6"/>
      <c r="F6" s="38">
        <v>107.3</v>
      </c>
      <c r="G6" s="22" t="s">
        <v>35</v>
      </c>
      <c r="H6" s="59"/>
      <c r="I6" s="59"/>
      <c r="J6" s="7"/>
    </row>
    <row r="7" spans="2:10" ht="27" customHeight="1" x14ac:dyDescent="0.25">
      <c r="B7" s="5" t="s">
        <v>13</v>
      </c>
      <c r="C7" s="6"/>
      <c r="D7" s="6"/>
      <c r="E7" s="23" t="s">
        <v>50</v>
      </c>
      <c r="F7" s="49">
        <f>IF(Berechnungen!K$3=1,1.2929,IF(Berechnungen!K$3=2,1.251,IF(Berechnungen!K$3=3,0.718,IF(Berechnungen!K$3=4,1.977,IF(Berechnungen!K$3=5,1.429,IF(Berechnungen!K$3=6,0.7715,"enter Density"))))))</f>
        <v>1.2928999999999999</v>
      </c>
      <c r="G7" s="6"/>
      <c r="H7" s="38">
        <v>1.23</v>
      </c>
      <c r="I7" s="6"/>
      <c r="J7" s="7"/>
    </row>
    <row r="8" spans="2:10" ht="7.5" customHeight="1" x14ac:dyDescent="0.25">
      <c r="B8" s="5"/>
      <c r="C8" s="6"/>
      <c r="D8" s="6"/>
      <c r="E8" s="6"/>
      <c r="F8" s="6"/>
      <c r="G8" s="6"/>
      <c r="H8" s="6"/>
      <c r="I8" s="6"/>
      <c r="J8" s="7"/>
    </row>
    <row r="9" spans="2:10" ht="16.5" customHeight="1" x14ac:dyDescent="0.25">
      <c r="B9" s="61" t="s">
        <v>51</v>
      </c>
      <c r="C9" s="62"/>
      <c r="D9" s="62"/>
      <c r="E9" s="40">
        <v>1</v>
      </c>
      <c r="F9" s="36" t="str">
        <f>IF(Berechnungen!E3=1,"Maximum 14bar","Maximum 4,5 bar")</f>
        <v>Maximum 14bar</v>
      </c>
      <c r="G9" s="6"/>
      <c r="H9" s="22" t="b">
        <f>IF(Berechnungen!E3=1,IF(Eingaben!E9&gt;14,TRUE,FALSE),IF(Eingaben!E9&gt;4.5,TRUE,FALSE))</f>
        <v>0</v>
      </c>
      <c r="I9" s="6"/>
      <c r="J9" s="7"/>
    </row>
    <row r="10" spans="2:10" ht="16.5" customHeight="1" x14ac:dyDescent="0.25">
      <c r="B10" s="61" t="s">
        <v>52</v>
      </c>
      <c r="C10" s="62"/>
      <c r="D10" s="62"/>
      <c r="E10" s="40">
        <v>20</v>
      </c>
      <c r="F10" s="37" t="str">
        <f>IF(Berechnungen!C3=1,"Maximum 180°C","Maximum 120°C")</f>
        <v>Maximum 180°C</v>
      </c>
      <c r="G10" s="6"/>
      <c r="H10" s="22" t="b">
        <f>IF(Berechnungen!C3=1,IF(Eingaben!E10&gt;180,TRUE,FALSE),IF(Eingaben!E10&gt;120,TRUE,FALSE))</f>
        <v>0</v>
      </c>
      <c r="I10" s="6"/>
      <c r="J10" s="7"/>
    </row>
    <row r="11" spans="2:10" ht="22.5" customHeight="1" x14ac:dyDescent="0.25">
      <c r="B11" s="61" t="s">
        <v>85</v>
      </c>
      <c r="C11" s="62"/>
      <c r="D11" s="62"/>
      <c r="E11" s="40">
        <v>800</v>
      </c>
      <c r="F11" s="6"/>
      <c r="G11" s="6"/>
      <c r="H11" s="6"/>
      <c r="I11" s="24" t="str">
        <f>IF(E11&gt;E22,"Too high, please reduce","")</f>
        <v/>
      </c>
      <c r="J11" s="7"/>
    </row>
    <row r="12" spans="2:10" ht="16.5" customHeight="1" x14ac:dyDescent="0.25">
      <c r="B12" s="63" t="s">
        <v>103</v>
      </c>
      <c r="C12" s="64"/>
      <c r="D12" s="64"/>
      <c r="E12" s="40">
        <v>1</v>
      </c>
      <c r="F12" s="6" t="s">
        <v>102</v>
      </c>
      <c r="G12" s="6"/>
      <c r="H12" s="6"/>
      <c r="I12" s="6"/>
      <c r="J12" s="7"/>
    </row>
    <row r="13" spans="2:10" ht="22.5" customHeight="1" x14ac:dyDescent="0.25">
      <c r="B13" s="48" t="s">
        <v>112</v>
      </c>
      <c r="C13" s="49"/>
      <c r="D13" s="49"/>
      <c r="E13" s="6"/>
      <c r="F13" s="6"/>
      <c r="G13" s="6"/>
      <c r="H13" s="6"/>
      <c r="I13" s="6"/>
      <c r="J13" s="7"/>
    </row>
    <row r="14" spans="2:10" ht="22.5" customHeight="1" x14ac:dyDescent="0.25">
      <c r="B14" s="48" t="s">
        <v>119</v>
      </c>
      <c r="C14" s="49"/>
      <c r="D14" s="49"/>
      <c r="E14" s="6" t="str">
        <f>IF(Berechnungen!Q3=2,"4..20mA=-50..500°C","")</f>
        <v>4..20mA=-50..500°C</v>
      </c>
      <c r="F14" s="6"/>
      <c r="G14" s="6"/>
      <c r="H14" s="6"/>
      <c r="I14" s="6"/>
      <c r="J14" s="7"/>
    </row>
    <row r="15" spans="2:10" ht="22.5" customHeight="1" thickBot="1" x14ac:dyDescent="0.3">
      <c r="B15" s="50" t="s">
        <v>120</v>
      </c>
      <c r="C15" s="51"/>
      <c r="D15" s="51"/>
      <c r="E15" s="9" t="str">
        <f>IF(Berechnungen!S3=2,IF(Berechnungen!E3=1,"0..10VDC=0..14bar abs","0..10VDC=0..4,5bar abs"),"")</f>
        <v>0..10VDC=0..14bar abs</v>
      </c>
      <c r="F15" s="9"/>
      <c r="G15" s="9"/>
      <c r="H15" s="9"/>
      <c r="I15" s="9"/>
      <c r="J15" s="10"/>
    </row>
    <row r="16" spans="2:10" ht="3.75" customHeight="1" x14ac:dyDescent="0.25"/>
    <row r="17" spans="2:10" ht="16.5" customHeight="1" thickBot="1" x14ac:dyDescent="0.3">
      <c r="B17" s="58" t="s">
        <v>131</v>
      </c>
      <c r="C17" s="58"/>
      <c r="D17" s="58"/>
      <c r="E17" s="58"/>
    </row>
    <row r="18" spans="2:10" ht="16.5" customHeight="1" x14ac:dyDescent="0.25">
      <c r="B18" s="2"/>
      <c r="C18" s="3" t="s">
        <v>22</v>
      </c>
      <c r="D18" s="3"/>
      <c r="E18" s="3" t="str">
        <f>IF(Berechnungen!M3=1,"kg/h",IF(Berechnungen!M3=2,"kg/min",IF(Berechnungen!M3=3,"kg/s",IF(Berechnungen!M3=4,"Nm³/h",IF(Berechnungen!M3=5,"Nm³/min",IF(Berechnungen!M3=6,"Nm³/s",IF(Berechnungen!M3=7,"m³/h @compressor inlet",IF(Berechnungen!M3=8,"m³/min @compressor inlet",IF(Berechnungen!M3=9,"m³/s @compressor inlet",IF(Berechnungen!M3=10,"Nl/min","error"))))))))))</f>
        <v>Nm³/h</v>
      </c>
      <c r="F18" s="3"/>
      <c r="G18" s="3" t="s">
        <v>80</v>
      </c>
      <c r="H18" s="3"/>
      <c r="I18" s="3"/>
      <c r="J18" s="4"/>
    </row>
    <row r="19" spans="2:10" ht="16.5" customHeight="1" x14ac:dyDescent="0.25">
      <c r="B19" s="5" t="s">
        <v>190</v>
      </c>
      <c r="C19" s="34">
        <f>C$22/30</f>
        <v>565.48226670026111</v>
      </c>
      <c r="D19" s="34"/>
      <c r="E19" s="34">
        <f>C19*Berechnungen!G$67</f>
        <v>437.37509993059098</v>
      </c>
      <c r="F19" s="34"/>
      <c r="G19" s="34">
        <f>G20/9</f>
        <v>0.28985360712748542</v>
      </c>
      <c r="H19" s="22">
        <f>IF(E19&gt;E11,1,0)</f>
        <v>0</v>
      </c>
      <c r="I19" s="22" t="b">
        <f>IF(H19=1,TRUE,FALSE)</f>
        <v>0</v>
      </c>
      <c r="J19" s="7"/>
    </row>
    <row r="20" spans="2:10" ht="16.5" customHeight="1" x14ac:dyDescent="0.25">
      <c r="B20" s="5" t="s">
        <v>63</v>
      </c>
      <c r="C20" s="34">
        <f>C$22/10</f>
        <v>1696.4468001007833</v>
      </c>
      <c r="D20" s="34"/>
      <c r="E20" s="34">
        <f>C20*Berechnungen!G$67</f>
        <v>1312.1252997917729</v>
      </c>
      <c r="F20" s="34"/>
      <c r="G20" s="34">
        <f>G21/9</f>
        <v>2.6086824641473689</v>
      </c>
      <c r="H20" s="22">
        <f>IF(E20&gt;E$11,IF(E19&lt;E$11,1,0),0)</f>
        <v>1</v>
      </c>
      <c r="I20" s="22" t="b">
        <f>IF(H20=1,TRUE,FALSE)</f>
        <v>1</v>
      </c>
      <c r="J20" s="7"/>
    </row>
    <row r="21" spans="2:10" ht="16.5" customHeight="1" x14ac:dyDescent="0.25">
      <c r="B21" s="5" t="s">
        <v>64</v>
      </c>
      <c r="C21" s="34">
        <f>C$22/3</f>
        <v>5654.8226670026115</v>
      </c>
      <c r="D21" s="34"/>
      <c r="E21" s="34">
        <f>C21*Berechnungen!G$67</f>
        <v>4373.7509993059102</v>
      </c>
      <c r="F21" s="34"/>
      <c r="G21" s="34">
        <f>G22/9</f>
        <v>23.478142177326319</v>
      </c>
      <c r="H21" s="22">
        <f t="shared" ref="H21:H22" si="0">IF(E21&gt;E$11,IF(E20&lt;E$11,1,0),0)</f>
        <v>0</v>
      </c>
      <c r="I21" s="22" t="b">
        <f>IF(H21=1,TRUE,FALSE)</f>
        <v>0</v>
      </c>
      <c r="J21" s="7"/>
    </row>
    <row r="22" spans="2:10" ht="16.5" customHeight="1" x14ac:dyDescent="0.25">
      <c r="B22" s="5" t="s">
        <v>53</v>
      </c>
      <c r="C22" s="34">
        <f>IF(Berechnungen!E$3=1,Berechnungen!C$62,Berechnungen!D$62)</f>
        <v>16964.468001007834</v>
      </c>
      <c r="D22" s="34"/>
      <c r="E22" s="34">
        <f>C22*Berechnungen!G$67</f>
        <v>13121.252997917731</v>
      </c>
      <c r="F22" s="34"/>
      <c r="G22" s="34">
        <f>(E22/E11)^2*E29</f>
        <v>211.30327959593689</v>
      </c>
      <c r="H22" s="22">
        <f t="shared" si="0"/>
        <v>0</v>
      </c>
      <c r="I22" s="22" t="b">
        <f>IF(H22=1,TRUE,FALSE)</f>
        <v>0</v>
      </c>
      <c r="J22" s="7"/>
    </row>
    <row r="23" spans="2:10" ht="7.5" customHeight="1" x14ac:dyDescent="0.25">
      <c r="B23" s="5"/>
      <c r="C23" s="6"/>
      <c r="D23" s="6"/>
      <c r="E23" s="6"/>
      <c r="F23" s="6"/>
      <c r="G23" s="6"/>
      <c r="H23" s="6"/>
      <c r="I23" s="6"/>
      <c r="J23" s="7"/>
    </row>
    <row r="24" spans="2:10" ht="16.5" hidden="1" customHeight="1" x14ac:dyDescent="0.25">
      <c r="B24" s="5" t="s">
        <v>86</v>
      </c>
      <c r="C24" s="6"/>
      <c r="D24" s="6"/>
      <c r="E24" s="6">
        <f>E11</f>
        <v>800</v>
      </c>
      <c r="F24" s="6" t="str">
        <f>E18</f>
        <v>Nm³/h</v>
      </c>
      <c r="G24" s="6"/>
      <c r="H24" s="6"/>
      <c r="I24" s="6"/>
      <c r="J24" s="7"/>
    </row>
    <row r="25" spans="2:10" ht="16.5" hidden="1" customHeight="1" x14ac:dyDescent="0.25">
      <c r="B25" s="5" t="s">
        <v>87</v>
      </c>
      <c r="C25" s="6"/>
      <c r="D25" s="6"/>
      <c r="E25" s="6">
        <f>E9</f>
        <v>1</v>
      </c>
      <c r="F25" s="6" t="s">
        <v>88</v>
      </c>
      <c r="G25" s="6"/>
      <c r="H25" s="6"/>
      <c r="I25" s="6"/>
      <c r="J25" s="7"/>
    </row>
    <row r="26" spans="2:10" ht="16.5" hidden="1" customHeight="1" x14ac:dyDescent="0.25">
      <c r="B26" s="5" t="s">
        <v>90</v>
      </c>
      <c r="C26" s="6"/>
      <c r="D26" s="6"/>
      <c r="E26" s="6">
        <f>E10</f>
        <v>20</v>
      </c>
      <c r="F26" s="6" t="s">
        <v>89</v>
      </c>
      <c r="G26" s="6"/>
      <c r="H26" s="6"/>
      <c r="I26" s="6"/>
      <c r="J26" s="7"/>
    </row>
    <row r="27" spans="2:10" ht="16.5" customHeight="1" x14ac:dyDescent="0.25">
      <c r="B27" s="5" t="s">
        <v>91</v>
      </c>
      <c r="C27" s="6"/>
      <c r="D27" s="6"/>
      <c r="E27" s="34">
        <f>Berechnungen!D123</f>
        <v>1.1889391538576424</v>
      </c>
      <c r="F27" s="6" t="s">
        <v>94</v>
      </c>
      <c r="H27" s="6" t="s">
        <v>179</v>
      </c>
      <c r="I27" s="6">
        <f>ROUND(Berechnungen!E166,1)</f>
        <v>26.7</v>
      </c>
      <c r="J27" s="7" t="s">
        <v>184</v>
      </c>
    </row>
    <row r="28" spans="2:10" ht="16.5" customHeight="1" x14ac:dyDescent="0.25">
      <c r="B28" s="5" t="s">
        <v>93</v>
      </c>
      <c r="C28" s="6"/>
      <c r="D28" s="6"/>
      <c r="E28" s="34">
        <f>Berechnungen!D127</f>
        <v>13.963236476099175</v>
      </c>
      <c r="F28" s="6" t="s">
        <v>96</v>
      </c>
      <c r="G28" s="24" t="str">
        <f>IF(E28&lt;2,"dp is too low, diameter reduction necessary",IF(E28&lt;5,"dp is very low, diameter reduction recommended",IF(E28&gt;400,"dp too high, use bigger diameter","")))</f>
        <v/>
      </c>
      <c r="H28" s="6"/>
      <c r="I28" s="6"/>
      <c r="J28" s="7"/>
    </row>
    <row r="29" spans="2:10" ht="16.5" customHeight="1" x14ac:dyDescent="0.25">
      <c r="B29" s="5" t="s">
        <v>140</v>
      </c>
      <c r="C29" s="6"/>
      <c r="D29" s="6"/>
      <c r="E29" s="34">
        <f>Berechnungen!D128</f>
        <v>0.78548083443337713</v>
      </c>
      <c r="F29" s="6" t="s">
        <v>96</v>
      </c>
      <c r="G29" s="6"/>
      <c r="H29" s="6"/>
      <c r="I29" s="6"/>
      <c r="J29" s="7"/>
    </row>
    <row r="30" spans="2:10" ht="16.5" customHeight="1" x14ac:dyDescent="0.25">
      <c r="B30" s="5" t="s">
        <v>77</v>
      </c>
      <c r="C30" s="6"/>
      <c r="D30" s="6"/>
      <c r="E30" s="34">
        <f>Berechnungen!F105</f>
        <v>0.99601209030384119</v>
      </c>
      <c r="F30" s="6" t="s">
        <v>102</v>
      </c>
      <c r="G30" s="6"/>
      <c r="H30" s="6"/>
      <c r="I30" s="6"/>
      <c r="J30" s="7"/>
    </row>
    <row r="31" spans="2:10" ht="16.5" customHeight="1" thickBot="1" x14ac:dyDescent="0.3">
      <c r="B31" s="8" t="s">
        <v>101</v>
      </c>
      <c r="C31" s="9"/>
      <c r="D31" s="9"/>
      <c r="E31" s="35">
        <f>Berechnungen!E117</f>
        <v>1065.2753953994256</v>
      </c>
      <c r="F31" s="9" t="s">
        <v>102</v>
      </c>
      <c r="G31" s="9"/>
      <c r="H31" s="9"/>
      <c r="I31" s="9"/>
      <c r="J31" s="10"/>
    </row>
    <row r="32" spans="2:10" ht="3.75" customHeight="1" x14ac:dyDescent="0.25">
      <c r="B32" s="6"/>
      <c r="C32" s="6"/>
      <c r="D32" s="6"/>
      <c r="E32" s="6"/>
      <c r="F32" s="6"/>
      <c r="G32" s="6"/>
      <c r="H32" s="6"/>
      <c r="I32" s="6"/>
      <c r="J32" s="6"/>
    </row>
    <row r="33" spans="1:10" ht="15.75" thickBot="1" x14ac:dyDescent="0.3">
      <c r="B33" s="32" t="s">
        <v>132</v>
      </c>
      <c r="G33" s="32" t="s">
        <v>133</v>
      </c>
    </row>
    <row r="34" spans="1:10" ht="12" customHeight="1" x14ac:dyDescent="0.25">
      <c r="A34" s="6"/>
      <c r="B34" s="16">
        <v>1</v>
      </c>
      <c r="C34" s="27" t="str">
        <f t="shared" ref="C34:C40" si="1">IF(J34=TRUE,"ON","OFF")</f>
        <v>ON</v>
      </c>
      <c r="D34" s="3" t="s">
        <v>141</v>
      </c>
      <c r="E34" s="3"/>
      <c r="F34" s="3"/>
      <c r="G34" s="2" t="s">
        <v>134</v>
      </c>
      <c r="H34" s="3" t="str">
        <f>IF(Berechnungen!M3&lt;4,"kg", "Nm³")</f>
        <v>Nm³</v>
      </c>
      <c r="I34" s="3"/>
      <c r="J34" s="28" t="b">
        <f>OR(I20,I22)</f>
        <v>1</v>
      </c>
    </row>
    <row r="35" spans="1:10" ht="12" customHeight="1" x14ac:dyDescent="0.25">
      <c r="A35" s="6"/>
      <c r="B35" s="17">
        <v>2</v>
      </c>
      <c r="C35" s="26" t="str">
        <f t="shared" si="1"/>
        <v>OFF</v>
      </c>
      <c r="D35" s="6" t="s">
        <v>142</v>
      </c>
      <c r="E35" s="6"/>
      <c r="F35" s="6"/>
      <c r="G35" s="5" t="s">
        <v>135</v>
      </c>
      <c r="H35" s="6" t="str">
        <f>IF(Berechnungen!M3=1,"h",IF(Berechnungen!M3=2,"min",IF(Berechnungen!M3=3,"s",IF(Berechnungen!M3=4,"h",IF(Berechnungen!M3=5,"min",IF(Berechnungen!M3=5,"s",IF(Berechnungen!M3=7,"h",IF(Berechnungen!M3=8,"min",IF(Berechnungen!M3=9,"s",)))))))))</f>
        <v>h</v>
      </c>
      <c r="I35" s="6"/>
      <c r="J35" s="29" t="b">
        <f>OR(I21,I22)</f>
        <v>0</v>
      </c>
    </row>
    <row r="36" spans="1:10" ht="12" customHeight="1" x14ac:dyDescent="0.25">
      <c r="A36" s="6"/>
      <c r="B36" s="17">
        <v>3</v>
      </c>
      <c r="C36" s="26" t="str">
        <f t="shared" si="1"/>
        <v>ON</v>
      </c>
      <c r="D36" s="6" t="s">
        <v>143</v>
      </c>
      <c r="E36" s="6"/>
      <c r="F36" s="6"/>
      <c r="G36" s="45" t="s">
        <v>136</v>
      </c>
      <c r="H36" s="34">
        <f>E22</f>
        <v>13121.252997917731</v>
      </c>
      <c r="I36" s="6"/>
      <c r="J36" s="29" t="b">
        <f>IF(Berechnungen!$O$3=1,TRUE,IF(Berechnungen!$O$3=3,TRUE,FALSE))</f>
        <v>1</v>
      </c>
    </row>
    <row r="37" spans="1:10" ht="12" customHeight="1" x14ac:dyDescent="0.25">
      <c r="A37" s="6"/>
      <c r="B37" s="17">
        <v>4</v>
      </c>
      <c r="C37" s="26" t="str">
        <f t="shared" si="1"/>
        <v>OFF</v>
      </c>
      <c r="D37" s="6" t="s">
        <v>125</v>
      </c>
      <c r="E37" s="6"/>
      <c r="F37" s="6"/>
      <c r="G37" s="45" t="s">
        <v>137</v>
      </c>
      <c r="H37" s="6" t="str">
        <f>IF(Berechnungen!E3=1,"14bar (HP)","4,5bar (LP)")</f>
        <v>14bar (HP)</v>
      </c>
      <c r="I37" s="6"/>
      <c r="J37" s="29" t="b">
        <f>IF(Berechnungen!$O$3=1,TRUE,IF(Berechnungen!$O$3=2,TRUE,FALSE))</f>
        <v>0</v>
      </c>
    </row>
    <row r="38" spans="1:10" ht="12" customHeight="1" x14ac:dyDescent="0.25">
      <c r="A38" s="6"/>
      <c r="B38" s="17">
        <v>5</v>
      </c>
      <c r="C38" s="26" t="str">
        <f t="shared" si="1"/>
        <v>ON</v>
      </c>
      <c r="D38" s="6" t="s">
        <v>119</v>
      </c>
      <c r="E38" s="6"/>
      <c r="F38" s="6"/>
      <c r="G38" s="5" t="s">
        <v>101</v>
      </c>
      <c r="H38" s="55">
        <f>ROUND(E31,0)</f>
        <v>1065</v>
      </c>
      <c r="I38" s="6"/>
      <c r="J38" s="29" t="b">
        <f>IF(Berechnungen!Q3=2,TRUE,FALSE)</f>
        <v>1</v>
      </c>
    </row>
    <row r="39" spans="1:10" ht="12" customHeight="1" x14ac:dyDescent="0.25">
      <c r="A39" s="6"/>
      <c r="B39" s="17">
        <v>6</v>
      </c>
      <c r="C39" s="26" t="str">
        <f t="shared" si="1"/>
        <v>ON</v>
      </c>
      <c r="D39" s="6" t="s">
        <v>120</v>
      </c>
      <c r="E39" s="6"/>
      <c r="F39" s="6"/>
      <c r="G39" s="5" t="s">
        <v>164</v>
      </c>
      <c r="H39" s="56">
        <f>ROUND(12307*E11/E22,0)</f>
        <v>750</v>
      </c>
      <c r="I39" s="6"/>
      <c r="J39" s="29" t="b">
        <f>IF(Berechnungen!S3=2,TRUE,FALSE)</f>
        <v>1</v>
      </c>
    </row>
    <row r="40" spans="1:10" ht="12" customHeight="1" thickBot="1" x14ac:dyDescent="0.3">
      <c r="A40" s="6"/>
      <c r="B40" s="18">
        <v>7</v>
      </c>
      <c r="C40" s="30" t="str">
        <f t="shared" si="1"/>
        <v>OFF</v>
      </c>
      <c r="D40" s="9" t="s">
        <v>126</v>
      </c>
      <c r="E40" s="9"/>
      <c r="F40" s="9"/>
      <c r="G40" s="8"/>
      <c r="H40" s="9"/>
      <c r="I40" s="9"/>
      <c r="J40" s="31" t="b">
        <v>0</v>
      </c>
    </row>
    <row r="41" spans="1:10" ht="3.75" customHeight="1" x14ac:dyDescent="0.25">
      <c r="B41" s="6"/>
      <c r="C41" s="26"/>
      <c r="D41" s="26"/>
      <c r="E41" s="6"/>
      <c r="F41" s="6"/>
      <c r="G41" s="6"/>
      <c r="H41" s="6"/>
      <c r="I41" s="6"/>
      <c r="J41" s="33"/>
    </row>
    <row r="42" spans="1:10" x14ac:dyDescent="0.25">
      <c r="B42" s="32" t="s">
        <v>178</v>
      </c>
    </row>
    <row r="55" spans="2:10" x14ac:dyDescent="0.25">
      <c r="B55" s="52" t="s">
        <v>145</v>
      </c>
    </row>
    <row r="56" spans="2:10" x14ac:dyDescent="0.25">
      <c r="B56" s="52" t="str">
        <f>IF(E11&lt;E19,"** Very low flow span will result in poor accuracy and should be only used for testing after regular zero offset","")</f>
        <v/>
      </c>
    </row>
    <row r="57" spans="2:10" x14ac:dyDescent="0.25">
      <c r="B57" s="19"/>
      <c r="C57" s="19"/>
      <c r="D57" s="19"/>
      <c r="E57" s="19"/>
      <c r="F57" s="19"/>
      <c r="G57" s="19"/>
      <c r="H57" s="19"/>
      <c r="I57" s="44" t="s">
        <v>189</v>
      </c>
      <c r="J57" s="19"/>
    </row>
    <row r="58" spans="2:10" x14ac:dyDescent="0.25">
      <c r="B58" s="60" t="s">
        <v>128</v>
      </c>
      <c r="C58" s="60"/>
      <c r="D58" s="60"/>
      <c r="E58" s="60"/>
      <c r="F58" s="60"/>
      <c r="G58" s="60"/>
      <c r="H58" s="60"/>
      <c r="I58" s="60"/>
      <c r="J58" s="60"/>
    </row>
    <row r="59" spans="2:10" x14ac:dyDescent="0.25">
      <c r="B59" s="60" t="s">
        <v>129</v>
      </c>
      <c r="C59" s="60"/>
      <c r="D59" s="60"/>
      <c r="E59" s="60"/>
      <c r="F59" s="60"/>
      <c r="G59" s="60"/>
      <c r="H59" s="60"/>
      <c r="I59" s="60"/>
      <c r="J59" s="60"/>
    </row>
  </sheetData>
  <sheetProtection password="DEDA" sheet="1" objects="1" scenarios="1" selectLockedCells="1"/>
  <mergeCells count="9">
    <mergeCell ref="B3:E3"/>
    <mergeCell ref="B17:E17"/>
    <mergeCell ref="H5:I6"/>
    <mergeCell ref="B58:J58"/>
    <mergeCell ref="B59:J59"/>
    <mergeCell ref="B9:D9"/>
    <mergeCell ref="B10:D10"/>
    <mergeCell ref="B11:D11"/>
    <mergeCell ref="B12:D12"/>
  </mergeCells>
  <conditionalFormatting sqref="E28">
    <cfRule type="cellIs" dxfId="11" priority="9" operator="lessThan">
      <formula>2</formula>
    </cfRule>
  </conditionalFormatting>
  <conditionalFormatting sqref="B19:G19">
    <cfRule type="expression" dxfId="10" priority="6">
      <formula>$H$19=1</formula>
    </cfRule>
  </conditionalFormatting>
  <conditionalFormatting sqref="B20:G20">
    <cfRule type="expression" dxfId="9" priority="5">
      <formula>$H$20=1</formula>
    </cfRule>
  </conditionalFormatting>
  <conditionalFormatting sqref="B21:G21">
    <cfRule type="expression" dxfId="8" priority="4">
      <formula>$H$21=1</formula>
    </cfRule>
  </conditionalFormatting>
  <conditionalFormatting sqref="B22:G22">
    <cfRule type="expression" dxfId="7" priority="3">
      <formula>$H$22=1</formula>
    </cfRule>
  </conditionalFormatting>
  <conditionalFormatting sqref="H5">
    <cfRule type="expression" dxfId="6" priority="16">
      <formula>$F$6&lt;25</formula>
    </cfRule>
  </conditionalFormatting>
  <conditionalFormatting sqref="F9">
    <cfRule type="expression" dxfId="5" priority="2">
      <formula>$H$9=TRUE</formula>
    </cfRule>
  </conditionalFormatting>
  <conditionalFormatting sqref="F10">
    <cfRule type="expression" dxfId="4" priority="1">
      <formula>$H$10=TRUE</formula>
    </cfRule>
  </conditionalFormatting>
  <hyperlinks>
    <hyperlink ref="B28" r:id="rId1" display="dp@Operational Flow"/>
  </hyperlinks>
  <pageMargins left="0.23622047244094491" right="0.23622047244094491" top="0.35433070866141736" bottom="0.35433070866141736" header="0.31496062992125984" footer="0.31496062992125984"/>
  <pageSetup paperSize="9" scale="90" orientation="portrait" horizont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dropdown3">
              <controlPr locked="0" defaultSize="0" autoLine="0" autoPict="0">
                <anchor moveWithCells="1">
                  <from>
                    <xdr:col>2</xdr:col>
                    <xdr:colOff>19050</xdr:colOff>
                    <xdr:row>4</xdr:row>
                    <xdr:rowOff>47625</xdr:rowOff>
                  </from>
                  <to>
                    <xdr:col>2</xdr:col>
                    <xdr:colOff>561975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locked="0" defaultSize="0" autoLine="0" autoPict="0">
                <anchor moveWithCells="1">
                  <from>
                    <xdr:col>3</xdr:col>
                    <xdr:colOff>19050</xdr:colOff>
                    <xdr:row>4</xdr:row>
                    <xdr:rowOff>47625</xdr:rowOff>
                  </from>
                  <to>
                    <xdr:col>3</xdr:col>
                    <xdr:colOff>561975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Drop Down 5">
              <controlPr locked="0" defaultSize="0" autoLine="0" autoPict="0">
                <anchor moveWithCells="1">
                  <from>
                    <xdr:col>5</xdr:col>
                    <xdr:colOff>28575</xdr:colOff>
                    <xdr:row>4</xdr:row>
                    <xdr:rowOff>47625</xdr:rowOff>
                  </from>
                  <to>
                    <xdr:col>5</xdr:col>
                    <xdr:colOff>571500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Drop Down 6">
              <controlPr locked="0" defaultSize="0" autoLine="0" autoPict="0">
                <anchor moveWithCells="1">
                  <from>
                    <xdr:col>4</xdr:col>
                    <xdr:colOff>19050</xdr:colOff>
                    <xdr:row>4</xdr:row>
                    <xdr:rowOff>47625</xdr:rowOff>
                  </from>
                  <to>
                    <xdr:col>4</xdr:col>
                    <xdr:colOff>590550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Drop Down 8">
              <controlPr locked="0" defaultSize="0" autoLine="0" autoPict="0">
                <anchor moveWithCells="1">
                  <from>
                    <xdr:col>2</xdr:col>
                    <xdr:colOff>19050</xdr:colOff>
                    <xdr:row>6</xdr:row>
                    <xdr:rowOff>104775</xdr:rowOff>
                  </from>
                  <to>
                    <xdr:col>3</xdr:col>
                    <xdr:colOff>495300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Drop Down 10">
              <controlPr defaultSize="0" autoLine="0" autoPict="0">
                <anchor moveWithCells="1">
                  <from>
                    <xdr:col>5</xdr:col>
                    <xdr:colOff>19050</xdr:colOff>
                    <xdr:row>10</xdr:row>
                    <xdr:rowOff>47625</xdr:rowOff>
                  </from>
                  <to>
                    <xdr:col>7</xdr:col>
                    <xdr:colOff>647700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Drop Down 14">
              <controlPr locked="0" defaultSize="0" autoLine="0" autoPict="0">
                <anchor moveWithCells="1">
                  <from>
                    <xdr:col>2</xdr:col>
                    <xdr:colOff>19050</xdr:colOff>
                    <xdr:row>12</xdr:row>
                    <xdr:rowOff>57150</xdr:rowOff>
                  </from>
                  <to>
                    <xdr:col>3</xdr:col>
                    <xdr:colOff>495300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Drop Down 15">
              <controlPr locked="0" defaultSize="0" autoLine="0" autoPict="0">
                <anchor moveWithCells="1">
                  <from>
                    <xdr:col>2</xdr:col>
                    <xdr:colOff>19050</xdr:colOff>
                    <xdr:row>13</xdr:row>
                    <xdr:rowOff>47625</xdr:rowOff>
                  </from>
                  <to>
                    <xdr:col>3</xdr:col>
                    <xdr:colOff>495300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Drop Down 16">
              <controlPr locked="0" defaultSize="0" autoLine="0" autoPict="0">
                <anchor moveWithCells="1">
                  <from>
                    <xdr:col>2</xdr:col>
                    <xdr:colOff>19050</xdr:colOff>
                    <xdr:row>14</xdr:row>
                    <xdr:rowOff>38100</xdr:rowOff>
                  </from>
                  <to>
                    <xdr:col>3</xdr:col>
                    <xdr:colOff>495300</xdr:colOff>
                    <xdr:row>14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AD0F6725-A3AD-449F-B7D5-63A8AEA2DDCA}">
            <xm:f>Berechnungen!$K$3=7</xm:f>
            <x14:dxf>
              <font>
                <color theme="1"/>
              </font>
              <fill>
                <patternFill>
                  <bgColor theme="4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H7</xm:sqref>
        </x14:conditionalFormatting>
        <x14:conditionalFormatting xmlns:xm="http://schemas.microsoft.com/office/excel/2006/main">
          <x14:cfRule type="expression" priority="12" id="{52119527-2E73-434B-9E61-0621D269E54B}">
            <xm:f>Berechnungen!$C$3=1</xm:f>
            <x14:dxf>
              <font>
                <color theme="1"/>
              </font>
            </x14:dxf>
          </x14:cfRule>
          <xm:sqref>C6</xm:sqref>
        </x14:conditionalFormatting>
        <x14:conditionalFormatting xmlns:xm="http://schemas.microsoft.com/office/excel/2006/main">
          <x14:cfRule type="expression" priority="11" id="{3733DDB1-BE91-4920-A9E0-49259312A11F}">
            <xm:f>Berechnungen!$C$3=1</xm:f>
            <x14:dxf>
              <font>
                <color theme="1"/>
              </font>
              <fill>
                <patternFill>
                  <bgColor theme="3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F6</xm:sqref>
        </x14:conditionalFormatting>
        <x14:conditionalFormatting xmlns:xm="http://schemas.microsoft.com/office/excel/2006/main">
          <x14:cfRule type="expression" priority="10" id="{16B52D34-D349-48C1-A376-DCDAC2F53796}">
            <xm:f>Berechnungen!$C$3=1</xm:f>
            <x14:dxf>
              <font>
                <color theme="1"/>
              </font>
              <fill>
                <patternFill>
                  <bgColor theme="3" tint="0.79998168889431442"/>
                </patternFill>
              </fill>
            </x14:dxf>
          </x14:cfRule>
          <xm:sqref>G6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166"/>
  <sheetViews>
    <sheetView zoomScale="10" zoomScaleNormal="10" workbookViewId="0">
      <selection activeCell="E164" sqref="E164"/>
    </sheetView>
  </sheetViews>
  <sheetFormatPr baseColWidth="10" defaultColWidth="11.7109375" defaultRowHeight="15" x14ac:dyDescent="0.25"/>
  <cols>
    <col min="5" max="5" width="12" bestFit="1" customWidth="1"/>
  </cols>
  <sheetData>
    <row r="1" spans="1:19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9" x14ac:dyDescent="0.25">
      <c r="A2" s="5"/>
      <c r="B2" s="6" t="s">
        <v>2</v>
      </c>
      <c r="C2" s="6"/>
      <c r="D2" s="6" t="s">
        <v>8</v>
      </c>
      <c r="E2" s="6"/>
      <c r="F2" s="6" t="s">
        <v>11</v>
      </c>
      <c r="G2" s="6"/>
      <c r="H2" s="6" t="s">
        <v>12</v>
      </c>
      <c r="I2" s="6"/>
      <c r="J2" s="6" t="s">
        <v>14</v>
      </c>
      <c r="K2" s="6"/>
      <c r="L2" s="6" t="s">
        <v>54</v>
      </c>
      <c r="M2" s="6"/>
      <c r="N2" s="6" t="s">
        <v>112</v>
      </c>
      <c r="O2" s="7"/>
      <c r="P2" t="s">
        <v>122</v>
      </c>
      <c r="R2" t="s">
        <v>123</v>
      </c>
    </row>
    <row r="3" spans="1:19" x14ac:dyDescent="0.25">
      <c r="A3" s="5"/>
      <c r="B3" s="39" t="s">
        <v>104</v>
      </c>
      <c r="C3" s="39">
        <v>1</v>
      </c>
      <c r="D3" s="39" t="s">
        <v>9</v>
      </c>
      <c r="E3" s="39">
        <v>1</v>
      </c>
      <c r="F3" s="39" t="s">
        <v>146</v>
      </c>
      <c r="G3" s="39">
        <v>2</v>
      </c>
      <c r="H3" s="39" t="s">
        <v>105</v>
      </c>
      <c r="I3" s="39">
        <v>1</v>
      </c>
      <c r="J3" s="39" t="s">
        <v>15</v>
      </c>
      <c r="K3" s="39">
        <v>1</v>
      </c>
      <c r="L3" s="39" t="s">
        <v>22</v>
      </c>
      <c r="M3" s="39">
        <v>4</v>
      </c>
      <c r="N3" s="39" t="s">
        <v>114</v>
      </c>
      <c r="O3" s="41">
        <v>3</v>
      </c>
      <c r="P3" s="43" t="s">
        <v>124</v>
      </c>
      <c r="Q3" s="43">
        <v>2</v>
      </c>
      <c r="R3" s="43" t="s">
        <v>124</v>
      </c>
      <c r="S3" s="43">
        <v>2</v>
      </c>
    </row>
    <row r="4" spans="1:19" x14ac:dyDescent="0.25">
      <c r="A4" s="5"/>
      <c r="B4" s="39" t="s">
        <v>20</v>
      </c>
      <c r="C4" s="39"/>
      <c r="D4" s="39" t="s">
        <v>10</v>
      </c>
      <c r="E4" s="39"/>
      <c r="F4" s="39" t="s">
        <v>106</v>
      </c>
      <c r="G4" s="39"/>
      <c r="H4" s="39" t="s">
        <v>147</v>
      </c>
      <c r="I4" s="39"/>
      <c r="J4" s="39" t="s">
        <v>16</v>
      </c>
      <c r="K4" s="39"/>
      <c r="L4" s="39" t="s">
        <v>55</v>
      </c>
      <c r="M4" s="39"/>
      <c r="N4" s="39" t="s">
        <v>113</v>
      </c>
      <c r="O4" s="41"/>
      <c r="P4" s="43" t="s">
        <v>121</v>
      </c>
      <c r="Q4" s="43"/>
      <c r="R4" s="43" t="s">
        <v>8</v>
      </c>
      <c r="S4" s="43"/>
    </row>
    <row r="5" spans="1:19" x14ac:dyDescent="0.25">
      <c r="A5" s="5"/>
      <c r="B5" s="39" t="s">
        <v>3</v>
      </c>
      <c r="C5" s="39"/>
      <c r="D5" s="39"/>
      <c r="E5" s="39"/>
      <c r="F5" s="39"/>
      <c r="G5" s="39"/>
      <c r="H5" s="42" t="s">
        <v>148</v>
      </c>
      <c r="I5" s="39"/>
      <c r="J5" s="39" t="s">
        <v>17</v>
      </c>
      <c r="K5" s="39"/>
      <c r="L5" s="39" t="s">
        <v>56</v>
      </c>
      <c r="M5" s="39"/>
      <c r="N5" s="42" t="s">
        <v>115</v>
      </c>
      <c r="O5" s="41"/>
    </row>
    <row r="6" spans="1:19" x14ac:dyDescent="0.25">
      <c r="A6" s="5"/>
      <c r="B6" s="39" t="s">
        <v>163</v>
      </c>
      <c r="C6" s="39"/>
      <c r="D6" s="39"/>
      <c r="E6" s="39"/>
      <c r="F6" s="39"/>
      <c r="G6" s="39"/>
      <c r="H6" s="39"/>
      <c r="I6" s="39"/>
      <c r="J6" s="42" t="s">
        <v>160</v>
      </c>
      <c r="K6" s="39"/>
      <c r="L6" s="39" t="s">
        <v>57</v>
      </c>
      <c r="M6" s="39"/>
      <c r="N6" s="42" t="s">
        <v>116</v>
      </c>
      <c r="O6" s="41"/>
    </row>
    <row r="7" spans="1:19" x14ac:dyDescent="0.25">
      <c r="A7" s="5"/>
      <c r="B7" s="39" t="s">
        <v>169</v>
      </c>
      <c r="C7" s="39"/>
      <c r="D7" s="39"/>
      <c r="E7" s="39"/>
      <c r="F7" s="39"/>
      <c r="G7" s="39"/>
      <c r="H7" s="39"/>
      <c r="I7" s="39"/>
      <c r="J7" s="39" t="s">
        <v>161</v>
      </c>
      <c r="K7" s="39"/>
      <c r="L7" s="39" t="s">
        <v>58</v>
      </c>
      <c r="M7" s="39"/>
      <c r="N7" s="39"/>
      <c r="O7" s="41"/>
    </row>
    <row r="8" spans="1:19" x14ac:dyDescent="0.25">
      <c r="A8" s="5"/>
      <c r="B8" s="39" t="s">
        <v>170</v>
      </c>
      <c r="C8" s="39"/>
      <c r="D8" s="39"/>
      <c r="E8" s="39"/>
      <c r="F8" s="39"/>
      <c r="G8" s="39"/>
      <c r="H8" s="39"/>
      <c r="I8" s="39"/>
      <c r="J8" s="39" t="s">
        <v>162</v>
      </c>
      <c r="K8" s="39"/>
      <c r="L8" s="39" t="s">
        <v>59</v>
      </c>
      <c r="M8" s="39"/>
      <c r="N8" s="39"/>
      <c r="O8" s="41"/>
    </row>
    <row r="9" spans="1:19" x14ac:dyDescent="0.25">
      <c r="A9" s="5"/>
      <c r="B9" s="39" t="s">
        <v>171</v>
      </c>
      <c r="C9" s="39"/>
      <c r="D9" s="39"/>
      <c r="E9" s="39"/>
      <c r="F9" s="39"/>
      <c r="G9" s="39"/>
      <c r="H9" s="39"/>
      <c r="I9" s="39"/>
      <c r="J9" s="39" t="s">
        <v>18</v>
      </c>
      <c r="K9" s="39"/>
      <c r="L9" s="39" t="s">
        <v>60</v>
      </c>
      <c r="M9" s="39"/>
      <c r="N9" s="39"/>
      <c r="O9" s="41"/>
    </row>
    <row r="10" spans="1:19" x14ac:dyDescent="0.25">
      <c r="A10" s="5"/>
      <c r="B10" s="39"/>
      <c r="C10" s="39"/>
      <c r="D10" s="39"/>
      <c r="E10" s="39"/>
      <c r="F10" s="39"/>
      <c r="G10" s="39"/>
      <c r="H10" s="39"/>
      <c r="I10" s="39"/>
      <c r="K10" s="39"/>
      <c r="L10" s="39" t="s">
        <v>61</v>
      </c>
      <c r="M10" s="39"/>
      <c r="N10" s="39"/>
      <c r="O10" s="41"/>
    </row>
    <row r="11" spans="1:19" x14ac:dyDescent="0.25">
      <c r="A11" s="5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 t="s">
        <v>62</v>
      </c>
      <c r="M11" s="39"/>
      <c r="N11" s="39"/>
      <c r="O11" s="41"/>
    </row>
    <row r="12" spans="1:19" ht="15.75" thickBot="1" x14ac:dyDescent="0.3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 t="s">
        <v>173</v>
      </c>
      <c r="M12" s="9"/>
      <c r="N12" s="9"/>
      <c r="O12" s="10"/>
    </row>
    <row r="13" spans="1:19" ht="15.75" thickBo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9" x14ac:dyDescent="0.25">
      <c r="A14" s="2"/>
      <c r="B14" s="3" t="s">
        <v>47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</row>
    <row r="15" spans="1:19" x14ac:dyDescent="0.25">
      <c r="A15" s="5"/>
      <c r="B15" s="6" t="s">
        <v>19</v>
      </c>
      <c r="C15" s="6" t="s">
        <v>9</v>
      </c>
      <c r="D15" s="6" t="s">
        <v>10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9" x14ac:dyDescent="0.25">
      <c r="A16" s="5"/>
      <c r="B16" s="6" t="s">
        <v>20</v>
      </c>
      <c r="C16" s="6">
        <f>D16*SQRT(14/4.5)</f>
        <v>975.5767000998834</v>
      </c>
      <c r="D16" s="6">
        <v>553.1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x14ac:dyDescent="0.25">
      <c r="A17" s="5"/>
      <c r="B17" s="6" t="s">
        <v>3</v>
      </c>
      <c r="C17" s="6">
        <f>D17*SQRT(14/4.5)</f>
        <v>603.77985136122072</v>
      </c>
      <c r="D17" s="6">
        <v>342.31099999999998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x14ac:dyDescent="0.25">
      <c r="A18" s="5"/>
      <c r="B18" s="6" t="s">
        <v>4</v>
      </c>
      <c r="C18" s="6">
        <f>D18*SQRT(14/4.5)</f>
        <v>260.16554558801806</v>
      </c>
      <c r="D18" s="6">
        <v>147.5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1:15" x14ac:dyDescent="0.25">
      <c r="A19" s="5"/>
      <c r="B19" s="12" t="s">
        <v>5</v>
      </c>
      <c r="C19" s="6">
        <f>D19*1.763824</f>
        <v>163.70050544</v>
      </c>
      <c r="D19" s="12">
        <v>92.81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x14ac:dyDescent="0.25">
      <c r="A20" s="5"/>
      <c r="B20" s="6" t="s">
        <v>6</v>
      </c>
      <c r="C20" s="6">
        <f>D20*1.763824</f>
        <v>83.042597744000005</v>
      </c>
      <c r="D20" s="6">
        <v>47.081000000000003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x14ac:dyDescent="0.25">
      <c r="A21" s="5"/>
      <c r="B21" s="6" t="s">
        <v>21</v>
      </c>
      <c r="C21" s="6">
        <f>D21*1.763824</f>
        <v>36.574654464000005</v>
      </c>
      <c r="D21" s="6">
        <v>20.736000000000001</v>
      </c>
      <c r="E21" s="6" t="s">
        <v>172</v>
      </c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x14ac:dyDescent="0.25">
      <c r="A22" s="5"/>
      <c r="B22" s="1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x14ac:dyDescent="0.25">
      <c r="A23" s="5"/>
      <c r="B23" s="6" t="s">
        <v>48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x14ac:dyDescent="0.25">
      <c r="A24" s="5"/>
      <c r="B24" s="6" t="s">
        <v>24</v>
      </c>
      <c r="C24" s="6"/>
      <c r="D24" s="6"/>
      <c r="E24" s="6"/>
      <c r="F24" s="6"/>
      <c r="G24" s="6"/>
      <c r="H24" s="6"/>
      <c r="I24" s="6" t="s">
        <v>25</v>
      </c>
      <c r="J24" s="6">
        <f>Eingaben!F6^2</f>
        <v>11513.289999999999</v>
      </c>
      <c r="K24" s="6"/>
      <c r="L24" s="6"/>
      <c r="M24" s="6"/>
      <c r="N24" s="6"/>
      <c r="O24" s="7"/>
    </row>
    <row r="25" spans="1:15" x14ac:dyDescent="0.25">
      <c r="A25" s="5"/>
      <c r="B25" s="6" t="s">
        <v>23</v>
      </c>
      <c r="C25" s="6" t="s">
        <v>25</v>
      </c>
      <c r="D25" s="6" t="s">
        <v>9</v>
      </c>
      <c r="E25" s="6"/>
      <c r="F25" s="6" t="s">
        <v>26</v>
      </c>
      <c r="G25" s="6"/>
      <c r="H25" s="6"/>
      <c r="I25" s="6"/>
      <c r="J25" s="6"/>
      <c r="K25" s="6"/>
      <c r="L25" s="6"/>
      <c r="M25" s="6"/>
      <c r="N25" s="6"/>
      <c r="O25" s="7"/>
    </row>
    <row r="26" spans="1:15" x14ac:dyDescent="0.25">
      <c r="A26" s="5"/>
      <c r="B26" s="6">
        <v>25</v>
      </c>
      <c r="C26" s="6">
        <f>B26^2</f>
        <v>625</v>
      </c>
      <c r="D26" s="6">
        <v>561</v>
      </c>
      <c r="E26" s="6"/>
      <c r="F26" s="6" t="s">
        <v>27</v>
      </c>
      <c r="G26" s="6"/>
      <c r="H26" s="6"/>
      <c r="I26" s="6" t="s">
        <v>37</v>
      </c>
      <c r="J26" s="6"/>
      <c r="K26" s="6"/>
      <c r="L26" s="6"/>
      <c r="M26" s="6"/>
      <c r="N26" s="6"/>
      <c r="O26" s="7"/>
    </row>
    <row r="27" spans="1:15" x14ac:dyDescent="0.25">
      <c r="A27" s="5"/>
      <c r="B27" s="6">
        <v>30</v>
      </c>
      <c r="C27" s="6">
        <f t="shared" ref="C27:C42" si="0">B27^2</f>
        <v>900</v>
      </c>
      <c r="D27" s="6">
        <v>1124</v>
      </c>
      <c r="E27" s="6"/>
      <c r="F27" s="6" t="s">
        <v>28</v>
      </c>
      <c r="G27" s="11">
        <v>-2.9224209126499998</v>
      </c>
      <c r="H27" s="6"/>
      <c r="I27" s="6"/>
      <c r="J27" s="6"/>
      <c r="K27" s="6"/>
      <c r="L27" s="6"/>
      <c r="M27" s="6"/>
      <c r="N27" s="6"/>
      <c r="O27" s="7"/>
    </row>
    <row r="28" spans="1:15" x14ac:dyDescent="0.25">
      <c r="A28" s="5"/>
      <c r="B28" s="6">
        <v>35</v>
      </c>
      <c r="C28" s="6">
        <f t="shared" si="0"/>
        <v>1225</v>
      </c>
      <c r="D28" s="6">
        <v>1535</v>
      </c>
      <c r="E28" s="6"/>
      <c r="F28" s="6" t="s">
        <v>29</v>
      </c>
      <c r="G28" s="11">
        <v>-0.26861204509800002</v>
      </c>
      <c r="H28" s="6"/>
      <c r="I28" s="11">
        <f>G27+J$24*G28+J$24^2*G29+J$24^3*G30+J$24^4*G31+J$24^5*G32</f>
        <v>-5496731.4527870361</v>
      </c>
      <c r="J28" s="6" t="s">
        <v>36</v>
      </c>
      <c r="K28" s="6"/>
      <c r="L28" s="6"/>
      <c r="M28" s="6"/>
      <c r="N28" s="6"/>
      <c r="O28" s="7"/>
    </row>
    <row r="29" spans="1:15" x14ac:dyDescent="0.25">
      <c r="A29" s="5"/>
      <c r="B29" s="6">
        <v>40</v>
      </c>
      <c r="C29" s="6">
        <f t="shared" si="0"/>
        <v>1600</v>
      </c>
      <c r="D29" s="6">
        <v>2036</v>
      </c>
      <c r="E29" s="6"/>
      <c r="F29" s="6" t="s">
        <v>30</v>
      </c>
      <c r="G29" s="11">
        <v>3.13900891671E-3</v>
      </c>
      <c r="H29" s="6"/>
      <c r="I29" s="6"/>
      <c r="J29" s="6"/>
      <c r="K29" s="6"/>
      <c r="L29" s="6"/>
      <c r="M29" s="6"/>
      <c r="N29" s="6"/>
      <c r="O29" s="7"/>
    </row>
    <row r="30" spans="1:15" x14ac:dyDescent="0.25">
      <c r="A30" s="5"/>
      <c r="B30" s="6">
        <v>45</v>
      </c>
      <c r="C30" s="6">
        <f t="shared" si="0"/>
        <v>2025</v>
      </c>
      <c r="D30" s="6">
        <v>2626</v>
      </c>
      <c r="E30" s="6"/>
      <c r="F30" s="6" t="s">
        <v>31</v>
      </c>
      <c r="G30" s="11">
        <v>-2.26360972461E-6</v>
      </c>
      <c r="H30" s="6"/>
      <c r="I30" s="6"/>
      <c r="J30" s="6"/>
      <c r="K30" s="6"/>
      <c r="L30" s="6"/>
      <c r="M30" s="6"/>
      <c r="N30" s="6"/>
      <c r="O30" s="7"/>
    </row>
    <row r="31" spans="1:15" x14ac:dyDescent="0.25">
      <c r="A31" s="5"/>
      <c r="B31" s="6">
        <v>50</v>
      </c>
      <c r="C31" s="6">
        <f t="shared" si="0"/>
        <v>2500</v>
      </c>
      <c r="D31" s="6">
        <v>3305</v>
      </c>
      <c r="E31" s="6"/>
      <c r="F31" s="6" t="s">
        <v>32</v>
      </c>
      <c r="G31" s="11">
        <v>6.8418980457700005E-10</v>
      </c>
      <c r="H31" s="6"/>
      <c r="I31" s="6"/>
      <c r="J31" s="6"/>
      <c r="K31" s="6"/>
      <c r="L31" s="6"/>
      <c r="M31" s="6"/>
      <c r="N31" s="6"/>
      <c r="O31" s="7"/>
    </row>
    <row r="32" spans="1:15" x14ac:dyDescent="0.25">
      <c r="A32" s="5"/>
      <c r="B32" s="6">
        <v>65</v>
      </c>
      <c r="C32" s="6">
        <f t="shared" si="0"/>
        <v>4225</v>
      </c>
      <c r="D32" s="6">
        <v>5848</v>
      </c>
      <c r="E32" s="6"/>
      <c r="F32" s="6" t="s">
        <v>33</v>
      </c>
      <c r="G32" s="11">
        <v>-7.15620537988E-14</v>
      </c>
      <c r="H32" s="6"/>
      <c r="I32" s="6"/>
      <c r="J32" s="6"/>
      <c r="K32" s="6"/>
      <c r="L32" s="6"/>
      <c r="M32" s="6"/>
      <c r="N32" s="6"/>
      <c r="O32" s="7"/>
    </row>
    <row r="33" spans="1:15" x14ac:dyDescent="0.25">
      <c r="A33" s="5"/>
      <c r="B33" s="6">
        <v>75</v>
      </c>
      <c r="C33" s="6">
        <f t="shared" si="0"/>
        <v>5625</v>
      </c>
      <c r="D33" s="6">
        <v>7975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</row>
    <row r="34" spans="1:15" x14ac:dyDescent="0.25">
      <c r="A34" s="5"/>
      <c r="B34" s="6">
        <v>88</v>
      </c>
      <c r="C34" s="6">
        <f t="shared" si="0"/>
        <v>7744</v>
      </c>
      <c r="D34" s="6">
        <v>11175</v>
      </c>
      <c r="E34" s="6"/>
      <c r="F34" s="6" t="s">
        <v>26</v>
      </c>
      <c r="G34" s="6"/>
      <c r="H34" s="6"/>
      <c r="I34" s="6"/>
      <c r="J34" s="6"/>
      <c r="K34" s="6"/>
      <c r="L34" s="6"/>
      <c r="M34" s="6"/>
      <c r="N34" s="6"/>
      <c r="O34" s="7"/>
    </row>
    <row r="35" spans="1:15" x14ac:dyDescent="0.25">
      <c r="A35" s="5"/>
      <c r="B35" s="6">
        <v>100</v>
      </c>
      <c r="C35" s="6">
        <f t="shared" si="0"/>
        <v>10000</v>
      </c>
      <c r="D35" s="6">
        <v>14509</v>
      </c>
      <c r="E35" s="6"/>
      <c r="F35" s="6" t="s">
        <v>27</v>
      </c>
      <c r="G35" s="6"/>
      <c r="H35" s="6"/>
      <c r="I35" s="6" t="s">
        <v>38</v>
      </c>
      <c r="J35" s="6"/>
      <c r="K35" s="6"/>
      <c r="L35" s="6"/>
      <c r="M35" s="6"/>
      <c r="N35" s="6"/>
      <c r="O35" s="7"/>
    </row>
    <row r="36" spans="1:15" x14ac:dyDescent="0.25">
      <c r="A36" s="5"/>
      <c r="B36" s="6">
        <v>200</v>
      </c>
      <c r="C36" s="6">
        <f t="shared" si="0"/>
        <v>40000</v>
      </c>
      <c r="D36" s="6">
        <v>64066</v>
      </c>
      <c r="E36" s="6"/>
      <c r="F36" s="6" t="s">
        <v>28</v>
      </c>
      <c r="G36" s="11">
        <v>-69.980290319199995</v>
      </c>
      <c r="H36" s="6"/>
      <c r="I36" s="6"/>
      <c r="J36" s="6"/>
      <c r="K36" s="6"/>
      <c r="L36" s="6"/>
      <c r="M36" s="6"/>
      <c r="N36" s="6"/>
      <c r="O36" s="7"/>
    </row>
    <row r="37" spans="1:15" x14ac:dyDescent="0.25">
      <c r="A37" s="5"/>
      <c r="B37" s="6">
        <v>300</v>
      </c>
      <c r="C37" s="6">
        <f t="shared" si="0"/>
        <v>90000</v>
      </c>
      <c r="D37" s="6">
        <v>130323</v>
      </c>
      <c r="E37" s="6"/>
      <c r="F37" s="6" t="s">
        <v>29</v>
      </c>
      <c r="G37" s="11">
        <v>1.3434836723500001</v>
      </c>
      <c r="H37" s="6"/>
      <c r="I37" s="11">
        <f>G36+J$24*G37+J$24^2*G38+J$24^3*G39+J$24^4*G40+J$24^5*G41</f>
        <v>16964.468001007834</v>
      </c>
      <c r="J37" s="6"/>
      <c r="K37" s="6"/>
      <c r="L37" s="6"/>
      <c r="M37" s="6"/>
      <c r="N37" s="6"/>
      <c r="O37" s="7"/>
    </row>
    <row r="38" spans="1:15" x14ac:dyDescent="0.25">
      <c r="A38" s="5"/>
      <c r="B38" s="6">
        <v>500</v>
      </c>
      <c r="C38" s="6">
        <f t="shared" si="0"/>
        <v>250000</v>
      </c>
      <c r="D38" s="6">
        <v>375055</v>
      </c>
      <c r="E38" s="6"/>
      <c r="F38" s="6" t="s">
        <v>30</v>
      </c>
      <c r="G38" s="11">
        <v>1.4531174071799999E-5</v>
      </c>
      <c r="H38" s="6"/>
      <c r="I38" s="6"/>
      <c r="J38" s="6"/>
      <c r="K38" s="6"/>
      <c r="L38" s="6"/>
      <c r="M38" s="6"/>
      <c r="N38" s="6"/>
      <c r="O38" s="7"/>
    </row>
    <row r="39" spans="1:15" x14ac:dyDescent="0.25">
      <c r="A39" s="5"/>
      <c r="B39" s="6">
        <v>1000</v>
      </c>
      <c r="C39" s="6">
        <f t="shared" si="0"/>
        <v>1000000</v>
      </c>
      <c r="D39" s="6">
        <v>1565268</v>
      </c>
      <c r="E39" s="6"/>
      <c r="F39" s="6" t="s">
        <v>31</v>
      </c>
      <c r="G39" s="11">
        <f>-2.50764613357E-10</f>
        <v>-2.50764613357E-10</v>
      </c>
      <c r="H39" s="6"/>
      <c r="I39" s="6"/>
      <c r="J39" s="6"/>
      <c r="K39" s="6"/>
      <c r="L39" s="6"/>
      <c r="M39" s="6"/>
      <c r="N39" s="6"/>
      <c r="O39" s="7"/>
    </row>
    <row r="40" spans="1:15" x14ac:dyDescent="0.25">
      <c r="A40" s="5"/>
      <c r="B40" s="6">
        <v>1500</v>
      </c>
      <c r="C40" s="6">
        <f t="shared" si="0"/>
        <v>2250000</v>
      </c>
      <c r="D40" s="6">
        <v>3548957</v>
      </c>
      <c r="E40" s="6"/>
      <c r="F40" s="6" t="s">
        <v>32</v>
      </c>
      <c r="G40" s="11">
        <v>1.3371318071799999E-15</v>
      </c>
      <c r="H40" s="6"/>
      <c r="I40" s="6"/>
      <c r="J40" s="6"/>
      <c r="K40" s="6"/>
      <c r="L40" s="6"/>
      <c r="M40" s="6"/>
      <c r="N40" s="6"/>
      <c r="O40" s="7"/>
    </row>
    <row r="41" spans="1:15" x14ac:dyDescent="0.25">
      <c r="A41" s="5"/>
      <c r="B41" s="6">
        <v>1750</v>
      </c>
      <c r="C41" s="6">
        <f t="shared" si="0"/>
        <v>3062500</v>
      </c>
      <c r="D41" s="6">
        <v>4838354</v>
      </c>
      <c r="E41" s="6"/>
      <c r="F41" s="6" t="s">
        <v>33</v>
      </c>
      <c r="G41" s="11">
        <v>-2.22609239597E-21</v>
      </c>
      <c r="H41" s="6"/>
      <c r="I41" s="6"/>
      <c r="J41" s="6"/>
      <c r="K41" s="6"/>
      <c r="L41" s="6"/>
      <c r="M41" s="6"/>
      <c r="N41" s="6"/>
      <c r="O41" s="7"/>
    </row>
    <row r="42" spans="1:15" x14ac:dyDescent="0.25">
      <c r="A42" s="5"/>
      <c r="B42" s="6">
        <v>2000</v>
      </c>
      <c r="C42" s="6">
        <f t="shared" si="0"/>
        <v>4000000</v>
      </c>
      <c r="D42" s="6">
        <v>6326121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</row>
    <row r="43" spans="1:15" x14ac:dyDescent="0.25">
      <c r="A43" s="5"/>
      <c r="B43" s="6"/>
      <c r="C43" s="6"/>
      <c r="D43" s="6"/>
      <c r="E43" s="6"/>
      <c r="F43" s="6" t="s">
        <v>26</v>
      </c>
      <c r="G43" s="6"/>
      <c r="H43" s="6"/>
      <c r="I43" s="6"/>
      <c r="J43" s="6"/>
      <c r="K43" s="6"/>
      <c r="L43" s="6"/>
      <c r="M43" s="6"/>
      <c r="N43" s="6"/>
      <c r="O43" s="7"/>
    </row>
    <row r="44" spans="1:15" x14ac:dyDescent="0.25">
      <c r="A44" s="5"/>
      <c r="B44" s="6"/>
      <c r="C44" s="6"/>
      <c r="D44" s="6"/>
      <c r="E44" s="6"/>
      <c r="F44" s="6" t="s">
        <v>27</v>
      </c>
      <c r="G44" s="6"/>
      <c r="H44" s="6"/>
      <c r="I44" s="6" t="s">
        <v>39</v>
      </c>
      <c r="J44" s="6"/>
      <c r="K44" s="6"/>
      <c r="L44" s="6"/>
      <c r="M44" s="6"/>
      <c r="N44" s="6"/>
      <c r="O44" s="7"/>
    </row>
    <row r="45" spans="1:15" x14ac:dyDescent="0.25">
      <c r="A45" s="5"/>
      <c r="B45" s="6"/>
      <c r="C45" s="6"/>
      <c r="D45" s="6"/>
      <c r="E45" s="6"/>
      <c r="F45" s="6" t="s">
        <v>28</v>
      </c>
      <c r="G45" s="11">
        <v>1581.99559348</v>
      </c>
      <c r="H45" s="6"/>
      <c r="I45" s="6"/>
      <c r="J45" s="6"/>
      <c r="K45" s="6"/>
      <c r="L45" s="6"/>
      <c r="M45" s="6"/>
      <c r="N45" s="6"/>
      <c r="O45" s="7"/>
    </row>
    <row r="46" spans="1:15" x14ac:dyDescent="0.25">
      <c r="A46" s="5"/>
      <c r="B46" s="6"/>
      <c r="C46" s="6"/>
      <c r="D46" s="6"/>
      <c r="E46" s="6"/>
      <c r="F46" s="6" t="s">
        <v>29</v>
      </c>
      <c r="G46" s="11">
        <v>1.45348173286</v>
      </c>
      <c r="H46" s="6"/>
      <c r="I46" s="11">
        <f>G45+J$24*G46+J$24^2*G47+J$24^3*G48+J$24^4*G49+J$24^5*G50</f>
        <v>18343.437976088913</v>
      </c>
      <c r="J46" s="6"/>
      <c r="K46" s="6"/>
      <c r="L46" s="6"/>
      <c r="M46" s="6"/>
      <c r="N46" s="6"/>
      <c r="O46" s="7"/>
    </row>
    <row r="47" spans="1:15" x14ac:dyDescent="0.25">
      <c r="A47" s="5"/>
      <c r="B47" s="6"/>
      <c r="C47" s="6"/>
      <c r="D47" s="6"/>
      <c r="E47" s="6"/>
      <c r="F47" s="6" t="s">
        <v>30</v>
      </c>
      <c r="G47" s="11">
        <v>2.0577550727899999E-7</v>
      </c>
      <c r="H47" s="6"/>
      <c r="I47" s="6"/>
      <c r="J47" s="6"/>
      <c r="K47" s="6"/>
      <c r="L47" s="6"/>
      <c r="M47" s="6"/>
      <c r="N47" s="6"/>
      <c r="O47" s="7"/>
    </row>
    <row r="48" spans="1:15" x14ac:dyDescent="0.25">
      <c r="A48" s="5"/>
      <c r="B48" s="6"/>
      <c r="C48" s="6"/>
      <c r="D48" s="6"/>
      <c r="E48" s="6"/>
      <c r="F48" s="6" t="s">
        <v>31</v>
      </c>
      <c r="G48" s="11">
        <v>-1.25572478781E-13</v>
      </c>
      <c r="H48" s="6"/>
      <c r="I48" s="6"/>
      <c r="J48" s="6"/>
      <c r="K48" s="6"/>
      <c r="L48" s="6"/>
      <c r="M48" s="6"/>
      <c r="N48" s="6"/>
      <c r="O48" s="7"/>
    </row>
    <row r="49" spans="1:15" x14ac:dyDescent="0.25">
      <c r="A49" s="5"/>
      <c r="B49" s="6"/>
      <c r="C49" s="6"/>
      <c r="D49" s="6"/>
      <c r="E49" s="6"/>
      <c r="F49" s="6" t="s">
        <v>32</v>
      </c>
      <c r="G49" s="11">
        <v>3.2978430041499999E-20</v>
      </c>
      <c r="H49" s="6"/>
      <c r="I49" s="6"/>
      <c r="J49" s="6"/>
      <c r="K49" s="6"/>
      <c r="L49" s="6"/>
      <c r="M49" s="6"/>
      <c r="N49" s="6"/>
      <c r="O49" s="7"/>
    </row>
    <row r="50" spans="1:15" x14ac:dyDescent="0.25">
      <c r="A50" s="5"/>
      <c r="B50" s="6"/>
      <c r="C50" s="6"/>
      <c r="D50" s="6"/>
      <c r="E50" s="6"/>
      <c r="F50" s="6" t="s">
        <v>33</v>
      </c>
      <c r="G50" s="11">
        <v>-3.1129227685000001E-27</v>
      </c>
      <c r="H50" s="6"/>
      <c r="I50" s="6"/>
      <c r="J50" s="6"/>
      <c r="K50" s="6"/>
      <c r="L50" s="6"/>
      <c r="M50" s="6"/>
      <c r="N50" s="6"/>
      <c r="O50" s="7"/>
    </row>
    <row r="51" spans="1:15" x14ac:dyDescent="0.2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"/>
    </row>
    <row r="52" spans="1:15" x14ac:dyDescent="0.25">
      <c r="A52" s="5"/>
      <c r="B52" s="6"/>
      <c r="C52" s="6"/>
      <c r="D52" s="6"/>
      <c r="E52" s="6"/>
      <c r="F52" s="6" t="s">
        <v>40</v>
      </c>
      <c r="G52" s="6" t="s">
        <v>41</v>
      </c>
      <c r="H52" s="6"/>
      <c r="I52" s="6"/>
      <c r="J52" s="6"/>
      <c r="K52" s="6"/>
      <c r="L52" s="6"/>
      <c r="M52" s="6"/>
      <c r="N52" s="6"/>
      <c r="O52" s="7"/>
    </row>
    <row r="53" spans="1:15" x14ac:dyDescent="0.25">
      <c r="A53" s="5"/>
      <c r="B53" s="6"/>
      <c r="C53" s="6"/>
      <c r="D53" s="6"/>
      <c r="E53" s="6"/>
      <c r="F53" s="6">
        <f>IF(Eingaben!F6&lt;50,Berechnungen!I28,IF(Eingaben!F6&lt;200,Berechnungen!I37,Berechnungen!I46))</f>
        <v>16964.468001007834</v>
      </c>
      <c r="G53" s="6">
        <f>F53*SQRT(4.5/14)</f>
        <v>9617.9493118242372</v>
      </c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7"/>
    </row>
    <row r="55" spans="1:15" x14ac:dyDescent="0.2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7"/>
    </row>
    <row r="56" spans="1:15" x14ac:dyDescent="0.25">
      <c r="A56" s="5"/>
      <c r="B56" s="6" t="s">
        <v>44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"/>
    </row>
    <row r="57" spans="1:15" x14ac:dyDescent="0.25">
      <c r="A57" s="5"/>
      <c r="B57" s="6"/>
      <c r="C57" s="6" t="s">
        <v>42</v>
      </c>
      <c r="D57" s="6" t="s">
        <v>43</v>
      </c>
      <c r="E57" s="6" t="s">
        <v>45</v>
      </c>
      <c r="F57" s="6"/>
      <c r="G57" s="6"/>
      <c r="H57" s="6"/>
      <c r="I57" s="6"/>
      <c r="J57" s="6"/>
      <c r="K57" s="6"/>
      <c r="L57" s="6"/>
      <c r="M57" s="6"/>
      <c r="N57" s="6"/>
      <c r="O57" s="7"/>
    </row>
    <row r="58" spans="1:15" x14ac:dyDescent="0.25">
      <c r="A58" s="5"/>
      <c r="B58" s="6"/>
      <c r="C58" s="6">
        <f>IF(C3=2,C16,IF(C3=3,C17,IF(C3=4,C18,IF(C3=5,C19,IF(C3=6,C20,IF(C3=7,C21,F53))))))</f>
        <v>16964.468001007834</v>
      </c>
      <c r="D58" s="6">
        <f>C58*SQRT(4.5/14)</f>
        <v>9617.9493118242372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7"/>
    </row>
    <row r="59" spans="1:15" x14ac:dyDescent="0.2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7"/>
    </row>
    <row r="60" spans="1:15" x14ac:dyDescent="0.25">
      <c r="A60" s="5"/>
      <c r="B60" s="6" t="s">
        <v>49</v>
      </c>
      <c r="C60" s="6"/>
      <c r="D60" s="6"/>
      <c r="E60" s="6" t="s">
        <v>46</v>
      </c>
      <c r="F60" s="6"/>
      <c r="G60" s="6"/>
      <c r="H60" s="6"/>
      <c r="I60" s="6"/>
      <c r="J60" s="6"/>
      <c r="K60" s="6"/>
      <c r="L60" s="6"/>
      <c r="M60" s="6"/>
      <c r="N60" s="6"/>
      <c r="O60" s="7"/>
    </row>
    <row r="61" spans="1:15" x14ac:dyDescent="0.25">
      <c r="A61" s="5"/>
      <c r="B61" s="6"/>
      <c r="C61" s="6" t="s">
        <v>42</v>
      </c>
      <c r="D61" s="6" t="s">
        <v>43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7"/>
    </row>
    <row r="62" spans="1:15" ht="15.75" thickBot="1" x14ac:dyDescent="0.3">
      <c r="A62" s="8"/>
      <c r="B62" s="9"/>
      <c r="C62" s="9">
        <f>IF(K3=7,C58*SQRT(Eingaben!H7/1.2929)*Eingaben!E12,Berechnungen!C58*SQRT(Eingaben!F7/1.2929)*Eingaben!E12)</f>
        <v>16964.468001007834</v>
      </c>
      <c r="D62" s="9">
        <f>C62*SQRT(4.5/14)</f>
        <v>9617.9493118242372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10"/>
    </row>
    <row r="63" spans="1:15" ht="15.75" thickBot="1" x14ac:dyDescent="0.3"/>
    <row r="64" spans="1:15" x14ac:dyDescent="0.25">
      <c r="A64" s="2"/>
      <c r="B64" s="3" t="s">
        <v>65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/>
    </row>
    <row r="65" spans="1:19" x14ac:dyDescent="0.25">
      <c r="A65" s="5"/>
      <c r="B65" s="6"/>
      <c r="C65" s="6"/>
      <c r="D65" s="6"/>
      <c r="E65" s="6"/>
      <c r="F65" s="6" t="s">
        <v>66</v>
      </c>
      <c r="G65" s="6">
        <f>IF(K3=7,Eingaben!H7,Eingaben!F7)</f>
        <v>1.2928999999999999</v>
      </c>
      <c r="H65" s="6" t="s">
        <v>67</v>
      </c>
      <c r="I65" s="6">
        <f>G65*273.15/293.15*1/1.01325</f>
        <v>1.1889391538576424</v>
      </c>
      <c r="J65" s="6"/>
      <c r="K65" s="6"/>
      <c r="L65" s="6"/>
      <c r="M65" s="6"/>
      <c r="N65" s="6"/>
      <c r="O65" s="7"/>
    </row>
    <row r="66" spans="1:19" x14ac:dyDescent="0.25">
      <c r="A66" s="5"/>
      <c r="B66" s="6">
        <v>1</v>
      </c>
      <c r="C66" s="6" t="s">
        <v>22</v>
      </c>
      <c r="D66" s="6">
        <v>1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7"/>
    </row>
    <row r="67" spans="1:19" x14ac:dyDescent="0.25">
      <c r="A67" s="5"/>
      <c r="B67" s="6">
        <v>2</v>
      </c>
      <c r="C67" s="6" t="s">
        <v>55</v>
      </c>
      <c r="D67" s="6">
        <f>1/60</f>
        <v>1.6666666666666666E-2</v>
      </c>
      <c r="E67" s="6"/>
      <c r="F67" s="6" t="s">
        <v>68</v>
      </c>
      <c r="G67" s="6">
        <f>IF(M3=1,D66,IF(M3=2,D67,IF(M3=3,D68,IF(M3=4,D69,IF(M3=5,D70,IF(M3=6,D71,IF(M3=7,D72,IF(M3=8,D73,IF(M3=9,D74,D75)))))))))</f>
        <v>0.77345502359037821</v>
      </c>
      <c r="H67" s="6"/>
      <c r="I67" s="6"/>
      <c r="J67" s="6"/>
      <c r="K67" s="6"/>
      <c r="L67" s="6"/>
      <c r="M67" s="6"/>
      <c r="N67" s="6"/>
      <c r="O67" s="7"/>
    </row>
    <row r="68" spans="1:19" x14ac:dyDescent="0.25">
      <c r="A68" s="5"/>
      <c r="B68" s="6">
        <v>3</v>
      </c>
      <c r="C68" s="6" t="s">
        <v>56</v>
      </c>
      <c r="D68" s="6">
        <f>1/3600</f>
        <v>2.7777777777777778E-4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7"/>
    </row>
    <row r="69" spans="1:19" x14ac:dyDescent="0.25">
      <c r="A69" s="5"/>
      <c r="B69" s="6">
        <v>4</v>
      </c>
      <c r="C69" s="6" t="s">
        <v>57</v>
      </c>
      <c r="D69" s="6">
        <f>1/G65</f>
        <v>0.77345502359037821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7"/>
    </row>
    <row r="70" spans="1:19" x14ac:dyDescent="0.25">
      <c r="A70" s="5"/>
      <c r="B70" s="6">
        <v>5</v>
      </c>
      <c r="C70" s="6" t="s">
        <v>58</v>
      </c>
      <c r="D70" s="6">
        <f>1/(60*G65)</f>
        <v>1.2890917059839637E-2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7"/>
    </row>
    <row r="71" spans="1:19" x14ac:dyDescent="0.25">
      <c r="A71" s="5"/>
      <c r="B71" s="6">
        <v>6</v>
      </c>
      <c r="C71" s="6" t="s">
        <v>59</v>
      </c>
      <c r="D71" s="6">
        <f>1/(3600*G65)</f>
        <v>2.1484861766399397E-4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7"/>
    </row>
    <row r="72" spans="1:19" x14ac:dyDescent="0.25">
      <c r="A72" s="5"/>
      <c r="B72" s="6">
        <v>7</v>
      </c>
      <c r="C72" s="6" t="s">
        <v>60</v>
      </c>
      <c r="D72" s="6">
        <f>1/I65</f>
        <v>0.84108593510054008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7"/>
    </row>
    <row r="73" spans="1:19" x14ac:dyDescent="0.25">
      <c r="A73" s="5"/>
      <c r="B73" s="6">
        <v>8</v>
      </c>
      <c r="C73" s="6" t="s">
        <v>61</v>
      </c>
      <c r="D73" s="6">
        <f>1/(60*I65)</f>
        <v>1.4018098918342334E-2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7"/>
    </row>
    <row r="74" spans="1:19" ht="15.75" thickBot="1" x14ac:dyDescent="0.3">
      <c r="A74" s="8"/>
      <c r="B74" s="9">
        <v>9</v>
      </c>
      <c r="C74" s="9" t="s">
        <v>62</v>
      </c>
      <c r="D74" s="9">
        <f>1/(3600*I65)</f>
        <v>2.3363498197237226E-4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10"/>
    </row>
    <row r="75" spans="1:19" x14ac:dyDescent="0.25">
      <c r="A75" s="6"/>
      <c r="B75" s="12">
        <v>10</v>
      </c>
      <c r="C75" s="12" t="s">
        <v>173</v>
      </c>
      <c r="D75" s="6">
        <f>D70*1000</f>
        <v>12.890917059839637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9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9" ht="15.75" thickBot="1" x14ac:dyDescent="0.3"/>
    <row r="78" spans="1:19" x14ac:dyDescent="0.25">
      <c r="B78" s="2" t="s">
        <v>79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4"/>
      <c r="R78" s="6">
        <v>25</v>
      </c>
      <c r="S78">
        <v>82</v>
      </c>
    </row>
    <row r="79" spans="1:19" x14ac:dyDescent="0.25">
      <c r="B79" s="5"/>
      <c r="C79" s="6"/>
      <c r="D79" s="6"/>
      <c r="E79" s="6"/>
      <c r="F79" s="6"/>
      <c r="G79" s="6"/>
      <c r="H79" s="6"/>
      <c r="I79" s="6"/>
      <c r="J79" s="6"/>
      <c r="K79" s="6"/>
      <c r="L79" s="6" t="s">
        <v>155</v>
      </c>
      <c r="M79" s="6"/>
      <c r="N79" s="6"/>
      <c r="P79" s="7"/>
      <c r="R79" s="6">
        <v>30</v>
      </c>
      <c r="S79">
        <v>69.2</v>
      </c>
    </row>
    <row r="80" spans="1:19" x14ac:dyDescent="0.25">
      <c r="B80" s="5" t="s">
        <v>69</v>
      </c>
      <c r="C80" s="6" t="s">
        <v>70</v>
      </c>
      <c r="D80" s="6" t="s">
        <v>71</v>
      </c>
      <c r="E80" s="6" t="s">
        <v>72</v>
      </c>
      <c r="F80" s="6" t="s">
        <v>73</v>
      </c>
      <c r="G80" s="6" t="s">
        <v>74</v>
      </c>
      <c r="H80" s="6"/>
      <c r="I80" s="6" t="s">
        <v>158</v>
      </c>
      <c r="J80" s="6" t="s">
        <v>159</v>
      </c>
      <c r="K80" s="6"/>
      <c r="L80" s="6" t="s">
        <v>156</v>
      </c>
      <c r="M80" s="6"/>
      <c r="N80" s="6"/>
      <c r="P80" s="7"/>
      <c r="R80" s="6">
        <v>35</v>
      </c>
      <c r="S80">
        <v>60</v>
      </c>
    </row>
    <row r="81" spans="2:19" x14ac:dyDescent="0.25">
      <c r="B81" s="5" t="s">
        <v>75</v>
      </c>
      <c r="C81" s="6">
        <v>25</v>
      </c>
      <c r="D81" s="6">
        <v>41</v>
      </c>
      <c r="E81" s="6">
        <f t="shared" ref="E81:E98" si="1">D81*2</f>
        <v>82</v>
      </c>
      <c r="F81" s="6">
        <v>0.84799999999999998</v>
      </c>
      <c r="G81" s="6">
        <f>-(1-F81)*2+1</f>
        <v>0.69599999999999995</v>
      </c>
      <c r="H81" s="6"/>
      <c r="I81" s="11">
        <f t="shared" ref="I81:I98" si="2">M$82*(1-EXP(-M$83*C81))</f>
        <v>0.7389046588091216</v>
      </c>
      <c r="J81" s="11">
        <f t="shared" ref="J81:J98" si="3">1/(M$90+M$91*C81^M$92)</f>
        <v>88.83155276934761</v>
      </c>
      <c r="K81" s="11"/>
      <c r="L81" s="6" t="s">
        <v>27</v>
      </c>
      <c r="M81" s="6"/>
      <c r="N81" s="6"/>
      <c r="P81" s="53"/>
      <c r="R81" s="6">
        <v>40</v>
      </c>
      <c r="S81">
        <v>53.2</v>
      </c>
    </row>
    <row r="82" spans="2:19" x14ac:dyDescent="0.25">
      <c r="B82" s="5"/>
      <c r="C82" s="6">
        <v>30</v>
      </c>
      <c r="D82" s="6">
        <v>34.6</v>
      </c>
      <c r="E82" s="6">
        <f t="shared" si="1"/>
        <v>69.2</v>
      </c>
      <c r="F82" s="6">
        <v>0.89700000000000002</v>
      </c>
      <c r="G82" s="6">
        <f t="shared" ref="G82:G98" si="4">-(1-F82)*2+1</f>
        <v>0.79400000000000004</v>
      </c>
      <c r="H82" s="6"/>
      <c r="I82" s="11">
        <f t="shared" si="2"/>
        <v>0.78357390367625124</v>
      </c>
      <c r="J82" s="11">
        <f t="shared" si="3"/>
        <v>67.105894253300363</v>
      </c>
      <c r="K82" s="11"/>
      <c r="L82" s="6" t="s">
        <v>28</v>
      </c>
      <c r="M82" s="11">
        <v>0.887562345275</v>
      </c>
      <c r="N82" s="6"/>
      <c r="P82" s="53"/>
      <c r="R82" s="6">
        <v>45</v>
      </c>
      <c r="S82">
        <v>47.8</v>
      </c>
    </row>
    <row r="83" spans="2:19" x14ac:dyDescent="0.25">
      <c r="B83" s="5"/>
      <c r="C83" s="6">
        <v>35</v>
      </c>
      <c r="D83" s="6">
        <v>30</v>
      </c>
      <c r="E83" s="6">
        <f t="shared" si="1"/>
        <v>60</v>
      </c>
      <c r="F83" s="6">
        <v>0.91800000000000004</v>
      </c>
      <c r="G83" s="6">
        <f t="shared" si="4"/>
        <v>0.83600000000000008</v>
      </c>
      <c r="H83" s="6"/>
      <c r="I83" s="11">
        <f t="shared" si="2"/>
        <v>0.81482075859210468</v>
      </c>
      <c r="J83" s="11">
        <f t="shared" si="3"/>
        <v>55.283953014145325</v>
      </c>
      <c r="K83" s="11"/>
      <c r="L83" s="6" t="s">
        <v>29</v>
      </c>
      <c r="M83" s="11">
        <v>7.1473300419599997E-2</v>
      </c>
      <c r="N83" s="6"/>
      <c r="O83" s="6"/>
      <c r="P83" s="7"/>
      <c r="R83" s="6">
        <v>50</v>
      </c>
      <c r="S83">
        <v>43.6</v>
      </c>
    </row>
    <row r="84" spans="2:19" x14ac:dyDescent="0.25">
      <c r="B84" s="5"/>
      <c r="C84" s="6">
        <v>40</v>
      </c>
      <c r="D84" s="6">
        <v>26.6</v>
      </c>
      <c r="E84" s="6">
        <f t="shared" si="1"/>
        <v>53.2</v>
      </c>
      <c r="F84" s="6">
        <v>0.92800000000000005</v>
      </c>
      <c r="G84" s="6">
        <f t="shared" si="4"/>
        <v>0.85600000000000009</v>
      </c>
      <c r="H84" s="6"/>
      <c r="I84" s="11">
        <f t="shared" si="2"/>
        <v>0.83667843595013092</v>
      </c>
      <c r="J84" s="11">
        <f t="shared" si="3"/>
        <v>47.780200444050429</v>
      </c>
      <c r="K84" s="11"/>
      <c r="L84" s="6"/>
      <c r="M84" s="11"/>
      <c r="N84" s="6"/>
      <c r="O84" s="6"/>
      <c r="P84" s="7"/>
      <c r="R84" s="6">
        <v>65</v>
      </c>
      <c r="S84">
        <v>34.799999999999997</v>
      </c>
    </row>
    <row r="85" spans="2:19" x14ac:dyDescent="0.25">
      <c r="B85" s="5"/>
      <c r="C85" s="6">
        <v>45</v>
      </c>
      <c r="D85" s="6">
        <v>23.9</v>
      </c>
      <c r="E85" s="6">
        <f t="shared" si="1"/>
        <v>47.8</v>
      </c>
      <c r="F85" s="6">
        <v>0.93300000000000005</v>
      </c>
      <c r="G85" s="6">
        <f t="shared" si="4"/>
        <v>0.8660000000000001</v>
      </c>
      <c r="H85" s="6"/>
      <c r="I85" s="11">
        <f t="shared" si="2"/>
        <v>0.85196823266004473</v>
      </c>
      <c r="J85" s="11">
        <f t="shared" si="3"/>
        <v>42.555899319876474</v>
      </c>
      <c r="K85" s="11"/>
      <c r="L85" s="6"/>
      <c r="M85" s="6"/>
      <c r="N85" s="6"/>
      <c r="O85" s="6"/>
      <c r="P85" s="7"/>
      <c r="R85" s="6">
        <v>75</v>
      </c>
      <c r="S85">
        <v>30.8</v>
      </c>
    </row>
    <row r="86" spans="2:19" x14ac:dyDescent="0.25">
      <c r="B86" s="5"/>
      <c r="C86" s="6">
        <v>50</v>
      </c>
      <c r="D86" s="6">
        <v>21.8</v>
      </c>
      <c r="E86" s="6">
        <f t="shared" si="1"/>
        <v>43.6</v>
      </c>
      <c r="F86" s="6">
        <v>0.93600000000000005</v>
      </c>
      <c r="G86" s="6">
        <f t="shared" si="4"/>
        <v>0.87200000000000011</v>
      </c>
      <c r="H86" s="6"/>
      <c r="I86" s="11">
        <f t="shared" si="2"/>
        <v>0.86266369126716202</v>
      </c>
      <c r="J86" s="11">
        <f t="shared" si="3"/>
        <v>38.686817613646923</v>
      </c>
      <c r="K86" s="11"/>
      <c r="L86" s="6"/>
      <c r="M86" s="6"/>
      <c r="N86" s="6"/>
      <c r="O86" s="6"/>
      <c r="P86" s="7"/>
      <c r="R86" s="6">
        <v>88</v>
      </c>
      <c r="S86">
        <v>27.02</v>
      </c>
    </row>
    <row r="87" spans="2:19" x14ac:dyDescent="0.25">
      <c r="B87" s="5"/>
      <c r="C87" s="6">
        <v>65</v>
      </c>
      <c r="D87" s="6">
        <v>17.399999999999999</v>
      </c>
      <c r="E87" s="6">
        <f t="shared" si="1"/>
        <v>34.799999999999997</v>
      </c>
      <c r="F87" s="6">
        <v>0.94</v>
      </c>
      <c r="G87" s="6">
        <f t="shared" si="4"/>
        <v>0.87999999999999989</v>
      </c>
      <c r="H87" s="6"/>
      <c r="I87" s="11">
        <f t="shared" si="2"/>
        <v>0.87903980679773852</v>
      </c>
      <c r="J87" s="11">
        <f t="shared" si="3"/>
        <v>31.328286134916468</v>
      </c>
      <c r="K87" s="11"/>
      <c r="L87" s="6" t="s">
        <v>78</v>
      </c>
      <c r="M87" s="6"/>
      <c r="N87" s="6"/>
      <c r="R87" s="6">
        <v>100</v>
      </c>
      <c r="S87">
        <v>24.4</v>
      </c>
    </row>
    <row r="88" spans="2:19" x14ac:dyDescent="0.25">
      <c r="B88" s="5"/>
      <c r="C88" s="6">
        <v>75</v>
      </c>
      <c r="D88" s="6">
        <v>15.4</v>
      </c>
      <c r="E88" s="6">
        <f t="shared" si="1"/>
        <v>30.8</v>
      </c>
      <c r="F88" s="6">
        <v>0.94099999999999995</v>
      </c>
      <c r="G88" s="6">
        <f t="shared" si="4"/>
        <v>0.8819999999999999</v>
      </c>
      <c r="H88" s="6"/>
      <c r="I88" s="11">
        <f t="shared" si="2"/>
        <v>0.88339207338297565</v>
      </c>
      <c r="J88" s="11">
        <f t="shared" si="3"/>
        <v>28.274113928117863</v>
      </c>
      <c r="K88" s="11"/>
      <c r="L88" s="6" t="s">
        <v>157</v>
      </c>
      <c r="M88" s="7"/>
      <c r="N88" s="6"/>
      <c r="Q88" s="54"/>
      <c r="R88" s="12">
        <v>150</v>
      </c>
      <c r="S88">
        <v>11.82</v>
      </c>
    </row>
    <row r="89" spans="2:19" x14ac:dyDescent="0.25">
      <c r="B89" s="5"/>
      <c r="C89" s="6">
        <v>88</v>
      </c>
      <c r="D89" s="6">
        <v>13.51</v>
      </c>
      <c r="E89" s="6">
        <f t="shared" si="1"/>
        <v>27.02</v>
      </c>
      <c r="F89" s="6">
        <v>0.94199999999999995</v>
      </c>
      <c r="G89" s="6">
        <f t="shared" si="4"/>
        <v>0.8839999999999999</v>
      </c>
      <c r="H89" s="6"/>
      <c r="I89" s="11">
        <f t="shared" si="2"/>
        <v>0.88591555463004734</v>
      </c>
      <c r="J89" s="11">
        <f t="shared" si="3"/>
        <v>25.420814219855497</v>
      </c>
      <c r="K89" s="11"/>
      <c r="L89" s="6" t="s">
        <v>27</v>
      </c>
      <c r="M89" s="7"/>
      <c r="N89" s="6"/>
      <c r="Q89" s="54"/>
      <c r="R89" s="6">
        <v>200</v>
      </c>
      <c r="S89">
        <v>8.8800000000000008</v>
      </c>
    </row>
    <row r="90" spans="2:19" x14ac:dyDescent="0.25">
      <c r="B90" s="5"/>
      <c r="C90" s="6">
        <v>100</v>
      </c>
      <c r="D90" s="6">
        <v>12.2</v>
      </c>
      <c r="E90" s="6">
        <f t="shared" si="1"/>
        <v>24.4</v>
      </c>
      <c r="F90" s="6">
        <v>0.94199999999999995</v>
      </c>
      <c r="G90" s="6">
        <f t="shared" si="4"/>
        <v>0.8839999999999999</v>
      </c>
      <c r="H90" s="6"/>
      <c r="I90" s="11">
        <f t="shared" si="2"/>
        <v>0.88686386705011555</v>
      </c>
      <c r="J90" s="11">
        <f t="shared" si="3"/>
        <v>23.471439381890818</v>
      </c>
      <c r="K90" s="11"/>
      <c r="L90" s="6" t="s">
        <v>28</v>
      </c>
      <c r="M90" s="53">
        <v>-8.7081554165199998E-2</v>
      </c>
      <c r="N90" s="6"/>
      <c r="Q90" s="54"/>
      <c r="R90" s="6">
        <v>300</v>
      </c>
      <c r="S90">
        <v>5.92</v>
      </c>
    </row>
    <row r="91" spans="2:19" x14ac:dyDescent="0.25">
      <c r="B91" s="5"/>
      <c r="C91" s="12">
        <v>150</v>
      </c>
      <c r="D91" s="6">
        <v>5.91</v>
      </c>
      <c r="E91" s="6">
        <f t="shared" si="1"/>
        <v>11.82</v>
      </c>
      <c r="F91" s="6">
        <v>0.94199999999999995</v>
      </c>
      <c r="G91" s="6">
        <f t="shared" si="4"/>
        <v>0.8839999999999999</v>
      </c>
      <c r="H91" s="6"/>
      <c r="I91" s="11">
        <f t="shared" si="2"/>
        <v>0.88754275096960156</v>
      </c>
      <c r="J91" s="11">
        <f t="shared" si="3"/>
        <v>18.678708800804294</v>
      </c>
      <c r="K91" s="11"/>
      <c r="L91" s="6" t="s">
        <v>29</v>
      </c>
      <c r="M91" s="53">
        <v>5.1724838978800002E-2</v>
      </c>
      <c r="N91" s="6"/>
      <c r="R91" s="6">
        <v>500</v>
      </c>
      <c r="S91">
        <v>3.56</v>
      </c>
    </row>
    <row r="92" spans="2:19" x14ac:dyDescent="0.25">
      <c r="B92" s="5"/>
      <c r="C92" s="6">
        <v>200</v>
      </c>
      <c r="D92" s="6">
        <v>4.4400000000000004</v>
      </c>
      <c r="E92" s="6">
        <f t="shared" si="1"/>
        <v>8.8800000000000008</v>
      </c>
      <c r="F92" s="6">
        <v>0.94199999999999995</v>
      </c>
      <c r="G92" s="6">
        <f t="shared" si="4"/>
        <v>0.8839999999999999</v>
      </c>
      <c r="H92" s="6"/>
      <c r="I92" s="11">
        <f t="shared" si="2"/>
        <v>0.88756179559887505</v>
      </c>
      <c r="J92" s="11">
        <f t="shared" si="3"/>
        <v>16.168769629435609</v>
      </c>
      <c r="K92" s="11"/>
      <c r="L92" s="6" t="s">
        <v>30</v>
      </c>
      <c r="M92" s="53">
        <v>0.19959785366900001</v>
      </c>
      <c r="N92" s="6"/>
      <c r="R92" s="6">
        <v>1000</v>
      </c>
      <c r="S92">
        <v>1.76</v>
      </c>
    </row>
    <row r="93" spans="2:19" x14ac:dyDescent="0.25">
      <c r="B93" s="5"/>
      <c r="C93" s="6">
        <v>300</v>
      </c>
      <c r="D93" s="6">
        <v>2.96</v>
      </c>
      <c r="E93" s="6">
        <f t="shared" si="1"/>
        <v>5.92</v>
      </c>
      <c r="F93" s="6">
        <v>0.94199999999999995</v>
      </c>
      <c r="G93" s="6">
        <f t="shared" si="4"/>
        <v>0.8839999999999999</v>
      </c>
      <c r="H93" s="6"/>
      <c r="I93" s="11">
        <f t="shared" si="2"/>
        <v>0.88756234484242558</v>
      </c>
      <c r="J93" s="11">
        <f t="shared" si="3"/>
        <v>13.44057053775459</v>
      </c>
      <c r="K93" s="11"/>
      <c r="L93" s="6"/>
      <c r="M93" s="7"/>
      <c r="N93" s="6"/>
      <c r="O93" s="6"/>
      <c r="P93" s="7"/>
      <c r="R93" s="6">
        <v>1500</v>
      </c>
      <c r="S93">
        <v>1.18</v>
      </c>
    </row>
    <row r="94" spans="2:19" x14ac:dyDescent="0.25">
      <c r="B94" s="5"/>
      <c r="C94" s="6">
        <v>500</v>
      </c>
      <c r="D94" s="6">
        <v>1.78</v>
      </c>
      <c r="E94" s="6">
        <f t="shared" si="1"/>
        <v>3.56</v>
      </c>
      <c r="F94" s="6">
        <v>0.94199999999999995</v>
      </c>
      <c r="G94" s="6">
        <f t="shared" si="4"/>
        <v>0.8839999999999999</v>
      </c>
      <c r="H94" s="6"/>
      <c r="I94" s="11">
        <f t="shared" si="2"/>
        <v>0.88756234527499966</v>
      </c>
      <c r="J94" s="11">
        <f t="shared" si="3"/>
        <v>10.900962500607463</v>
      </c>
      <c r="K94" s="11"/>
      <c r="L94" s="6"/>
      <c r="M94" s="6"/>
      <c r="N94" s="6"/>
      <c r="O94" s="6"/>
      <c r="P94" s="7"/>
      <c r="R94" s="6">
        <v>1750</v>
      </c>
      <c r="S94">
        <v>1</v>
      </c>
    </row>
    <row r="95" spans="2:19" x14ac:dyDescent="0.25">
      <c r="B95" s="5"/>
      <c r="C95" s="6">
        <v>1000</v>
      </c>
      <c r="D95" s="6">
        <v>0.88</v>
      </c>
      <c r="E95" s="6">
        <f t="shared" si="1"/>
        <v>1.76</v>
      </c>
      <c r="F95" s="6">
        <v>0.94199999999999995</v>
      </c>
      <c r="G95" s="6">
        <f t="shared" si="4"/>
        <v>0.8839999999999999</v>
      </c>
      <c r="H95" s="6"/>
      <c r="I95" s="11">
        <f t="shared" si="2"/>
        <v>0.887562345275</v>
      </c>
      <c r="J95" s="11">
        <f t="shared" si="3"/>
        <v>8.4554082387010805</v>
      </c>
      <c r="K95" s="11"/>
      <c r="L95" s="6"/>
      <c r="M95" s="6"/>
      <c r="N95" s="6"/>
      <c r="O95" s="6"/>
      <c r="P95" s="7"/>
      <c r="R95" s="6">
        <v>2000</v>
      </c>
      <c r="S95">
        <v>0.8</v>
      </c>
    </row>
    <row r="96" spans="2:19" x14ac:dyDescent="0.25">
      <c r="B96" s="5"/>
      <c r="C96" s="6">
        <v>1500</v>
      </c>
      <c r="D96" s="6">
        <v>0.59</v>
      </c>
      <c r="E96" s="6">
        <f t="shared" si="1"/>
        <v>1.18</v>
      </c>
      <c r="F96" s="6">
        <v>0.94199999999999995</v>
      </c>
      <c r="G96" s="6">
        <f t="shared" si="4"/>
        <v>0.8839999999999999</v>
      </c>
      <c r="H96" s="6"/>
      <c r="I96" s="11">
        <f t="shared" si="2"/>
        <v>0.887562345275</v>
      </c>
      <c r="J96" s="11">
        <f t="shared" si="3"/>
        <v>7.3758611116712265</v>
      </c>
      <c r="K96" s="11"/>
      <c r="L96" s="6"/>
      <c r="M96" s="6"/>
      <c r="N96" s="6"/>
      <c r="O96" s="6"/>
      <c r="P96" s="7"/>
    </row>
    <row r="97" spans="2:16" x14ac:dyDescent="0.25">
      <c r="B97" s="5"/>
      <c r="C97" s="6">
        <v>1750</v>
      </c>
      <c r="D97" s="6">
        <v>0.5</v>
      </c>
      <c r="E97" s="6">
        <f t="shared" si="1"/>
        <v>1</v>
      </c>
      <c r="F97" s="6">
        <v>0.94199999999999995</v>
      </c>
      <c r="G97" s="6">
        <f t="shared" si="4"/>
        <v>0.8839999999999999</v>
      </c>
      <c r="H97" s="6"/>
      <c r="I97" s="11">
        <f t="shared" si="2"/>
        <v>0.887562345275</v>
      </c>
      <c r="J97" s="11">
        <f t="shared" si="3"/>
        <v>7.0158366541441399</v>
      </c>
      <c r="K97" s="11"/>
      <c r="L97" s="6"/>
      <c r="M97" s="6"/>
      <c r="N97" s="6"/>
      <c r="O97" s="6"/>
      <c r="P97" s="7"/>
    </row>
    <row r="98" spans="2:16" x14ac:dyDescent="0.25">
      <c r="B98" s="5"/>
      <c r="C98" s="6">
        <v>2000</v>
      </c>
      <c r="D98" s="6">
        <v>0.4</v>
      </c>
      <c r="E98" s="6">
        <f t="shared" si="1"/>
        <v>0.8</v>
      </c>
      <c r="F98" s="6">
        <v>0.94199999999999995</v>
      </c>
      <c r="G98" s="6">
        <f t="shared" si="4"/>
        <v>0.8839999999999999</v>
      </c>
      <c r="H98" s="6"/>
      <c r="I98" s="11">
        <f t="shared" si="2"/>
        <v>0.887562345275</v>
      </c>
      <c r="J98" s="11">
        <f t="shared" si="3"/>
        <v>6.7232845821593781</v>
      </c>
      <c r="K98" s="11"/>
      <c r="L98" s="6"/>
      <c r="M98" s="6"/>
      <c r="N98" s="6"/>
      <c r="O98" s="6"/>
      <c r="P98" s="7"/>
    </row>
    <row r="99" spans="2:16" x14ac:dyDescent="0.25"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/>
    </row>
    <row r="100" spans="2:16" x14ac:dyDescent="0.25"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7"/>
    </row>
    <row r="101" spans="2:16" x14ac:dyDescent="0.25"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7"/>
    </row>
    <row r="102" spans="2:16" x14ac:dyDescent="0.25">
      <c r="B102" s="5"/>
      <c r="C102" s="6" t="s">
        <v>76</v>
      </c>
      <c r="D102" s="6"/>
      <c r="E102" s="6"/>
      <c r="F102" s="6"/>
      <c r="G102" s="11">
        <f>J102</f>
        <v>22.501397459761773</v>
      </c>
      <c r="H102" s="6"/>
      <c r="I102" s="11"/>
      <c r="J102" s="11">
        <f>1/(M$90+M$91*F103^M$92)</f>
        <v>22.501397459761773</v>
      </c>
      <c r="K102" s="6"/>
      <c r="L102" s="6"/>
      <c r="M102" s="6"/>
      <c r="N102" s="6"/>
      <c r="O102" s="7"/>
    </row>
    <row r="103" spans="2:16" x14ac:dyDescent="0.25">
      <c r="B103" s="5"/>
      <c r="C103" s="6"/>
      <c r="D103" s="6" t="s">
        <v>100</v>
      </c>
      <c r="E103" s="6"/>
      <c r="F103" s="6">
        <f>Eingaben!F6</f>
        <v>107.3</v>
      </c>
      <c r="G103" s="6"/>
      <c r="H103" s="6"/>
      <c r="I103" s="6"/>
      <c r="J103" s="6"/>
      <c r="K103" s="6"/>
      <c r="L103" s="6"/>
      <c r="M103" s="6"/>
      <c r="N103" s="6"/>
      <c r="O103" s="7"/>
    </row>
    <row r="104" spans="2:16" x14ac:dyDescent="0.25">
      <c r="B104" s="5"/>
      <c r="C104" s="6"/>
      <c r="D104" s="6" t="s">
        <v>74</v>
      </c>
      <c r="E104" s="6"/>
      <c r="F104" s="11">
        <f>M82*(1-EXP(-M83*F103))</f>
        <v>0.88714781379814101</v>
      </c>
      <c r="G104" s="6"/>
      <c r="H104" s="6"/>
      <c r="I104" s="6"/>
      <c r="J104" s="6"/>
      <c r="K104" s="6"/>
      <c r="L104" s="6"/>
      <c r="M104" s="6"/>
      <c r="N104" s="6"/>
      <c r="O104" s="7"/>
    </row>
    <row r="105" spans="2:16" x14ac:dyDescent="0.25">
      <c r="B105" s="5"/>
      <c r="C105" s="6"/>
      <c r="D105" s="6" t="s">
        <v>139</v>
      </c>
      <c r="E105" s="6"/>
      <c r="F105" s="11">
        <f>1-((1-F104)*Eingaben!E28/400*1.0123/Eingaben!E9)</f>
        <v>0.99601209030384119</v>
      </c>
      <c r="G105" s="11">
        <f>1-(1.01325*D127/Eingaben!E9/400*(1-Berechnungen!F104))</f>
        <v>0.99600834782215453</v>
      </c>
      <c r="H105" s="6"/>
      <c r="I105" s="6"/>
      <c r="J105" s="6"/>
      <c r="K105" s="6"/>
      <c r="L105" s="6"/>
      <c r="M105" s="6"/>
      <c r="N105" s="6"/>
      <c r="O105" s="7"/>
    </row>
    <row r="106" spans="2:16" x14ac:dyDescent="0.25">
      <c r="B106" s="5"/>
      <c r="C106" s="6"/>
      <c r="D106" s="12"/>
      <c r="E106" s="6"/>
      <c r="F106" s="13"/>
      <c r="G106" s="6"/>
      <c r="H106" s="6"/>
      <c r="I106" s="6"/>
      <c r="J106" s="6"/>
      <c r="K106" s="6"/>
      <c r="L106" s="6"/>
      <c r="M106" s="6"/>
      <c r="N106" s="6"/>
      <c r="O106" s="7"/>
    </row>
    <row r="107" spans="2:16" x14ac:dyDescent="0.25">
      <c r="B107" s="5"/>
      <c r="C107" s="6"/>
      <c r="D107" s="6"/>
      <c r="E107" s="6"/>
      <c r="F107" s="13"/>
      <c r="G107" s="6"/>
      <c r="H107" s="6"/>
      <c r="I107" s="6"/>
      <c r="J107" s="6"/>
      <c r="K107" s="6"/>
      <c r="L107" s="6"/>
      <c r="M107" s="6"/>
      <c r="N107" s="6"/>
      <c r="O107" s="7"/>
    </row>
    <row r="108" spans="2:16" x14ac:dyDescent="0.25">
      <c r="B108" s="5"/>
      <c r="C108" s="6"/>
      <c r="D108" s="6" t="s">
        <v>81</v>
      </c>
      <c r="E108" s="6" t="s">
        <v>72</v>
      </c>
      <c r="F108" s="6" t="s">
        <v>151</v>
      </c>
      <c r="G108" s="6" t="s">
        <v>74</v>
      </c>
      <c r="H108" s="6"/>
      <c r="I108" s="6"/>
      <c r="J108" s="6"/>
      <c r="K108" s="6"/>
      <c r="L108" s="6"/>
      <c r="M108" s="6"/>
      <c r="N108" s="6"/>
      <c r="O108" s="7"/>
    </row>
    <row r="109" spans="2:16" x14ac:dyDescent="0.25">
      <c r="B109" s="5" t="s">
        <v>153</v>
      </c>
      <c r="C109" s="6" t="s">
        <v>20</v>
      </c>
      <c r="D109" s="6">
        <v>13.72</v>
      </c>
      <c r="E109" s="6">
        <f t="shared" ref="E109:E114" si="5">D109*4</f>
        <v>54.88</v>
      </c>
      <c r="F109" s="6">
        <v>0.93810000000000004</v>
      </c>
      <c r="G109" s="6">
        <f>-(1-F109)*4+1</f>
        <v>0.75240000000000018</v>
      </c>
      <c r="H109" s="6"/>
      <c r="I109" s="6"/>
      <c r="J109" s="6"/>
      <c r="K109" s="6"/>
      <c r="L109" s="6"/>
      <c r="M109" s="6"/>
      <c r="N109" s="6"/>
      <c r="O109" s="7"/>
    </row>
    <row r="110" spans="2:16" x14ac:dyDescent="0.25">
      <c r="B110" s="5" t="s">
        <v>152</v>
      </c>
      <c r="C110" s="6" t="s">
        <v>3</v>
      </c>
      <c r="D110" s="6">
        <v>13.24</v>
      </c>
      <c r="E110" s="6">
        <f t="shared" si="5"/>
        <v>52.96</v>
      </c>
      <c r="F110" s="6">
        <v>0.93620000000000003</v>
      </c>
      <c r="G110" s="6">
        <f t="shared" ref="G110:G114" si="6">-(1-F110)*4+1</f>
        <v>0.74480000000000013</v>
      </c>
      <c r="H110" s="6"/>
      <c r="I110" s="6"/>
      <c r="J110" s="6"/>
      <c r="K110" s="6"/>
      <c r="L110" s="6"/>
      <c r="M110" s="6"/>
      <c r="N110" s="6"/>
      <c r="O110" s="7"/>
    </row>
    <row r="111" spans="2:16" x14ac:dyDescent="0.25">
      <c r="B111" s="14" t="s">
        <v>84</v>
      </c>
      <c r="C111" s="6" t="s">
        <v>4</v>
      </c>
      <c r="D111" s="6">
        <f>100/8</f>
        <v>12.5</v>
      </c>
      <c r="E111" s="6">
        <f t="shared" si="5"/>
        <v>50</v>
      </c>
      <c r="F111" s="6">
        <v>0.93010000000000004</v>
      </c>
      <c r="G111" s="6">
        <f t="shared" si="6"/>
        <v>0.72040000000000015</v>
      </c>
      <c r="H111" s="6"/>
      <c r="I111" s="6"/>
      <c r="J111" s="6"/>
      <c r="K111" s="6"/>
      <c r="L111" s="6"/>
      <c r="M111" s="6"/>
      <c r="N111" s="6"/>
      <c r="O111" s="7"/>
    </row>
    <row r="112" spans="2:16" x14ac:dyDescent="0.25">
      <c r="B112" s="5" t="s">
        <v>82</v>
      </c>
      <c r="C112" s="6" t="s">
        <v>165</v>
      </c>
      <c r="D112" s="6">
        <v>13</v>
      </c>
      <c r="E112" s="6">
        <f t="shared" si="5"/>
        <v>52</v>
      </c>
      <c r="F112" s="6">
        <v>0.93200000000000005</v>
      </c>
      <c r="G112" s="6">
        <f t="shared" si="6"/>
        <v>0.7280000000000002</v>
      </c>
      <c r="H112" s="6">
        <v>932</v>
      </c>
      <c r="I112" s="6"/>
      <c r="J112" s="6"/>
      <c r="K112" s="6"/>
      <c r="L112" s="6"/>
      <c r="M112" s="6"/>
      <c r="N112" s="6"/>
      <c r="O112" s="7"/>
    </row>
    <row r="113" spans="2:15" x14ac:dyDescent="0.25">
      <c r="B113" s="5" t="s">
        <v>168</v>
      </c>
      <c r="C113" s="6" t="s">
        <v>166</v>
      </c>
      <c r="D113" s="12">
        <v>14</v>
      </c>
      <c r="E113" s="12">
        <f t="shared" si="5"/>
        <v>56</v>
      </c>
      <c r="F113" s="12">
        <v>0.93400000000000005</v>
      </c>
      <c r="G113" s="12">
        <f t="shared" si="6"/>
        <v>0.73600000000000021</v>
      </c>
      <c r="H113" s="6"/>
      <c r="I113" s="6"/>
      <c r="J113" s="6"/>
      <c r="K113" s="6"/>
      <c r="L113" s="6"/>
      <c r="M113" s="6"/>
      <c r="N113" s="6"/>
      <c r="O113" s="7"/>
    </row>
    <row r="114" spans="2:15" x14ac:dyDescent="0.25">
      <c r="B114" s="5" t="s">
        <v>83</v>
      </c>
      <c r="C114" s="6" t="s">
        <v>167</v>
      </c>
      <c r="D114" s="6">
        <v>16</v>
      </c>
      <c r="E114" s="6">
        <f t="shared" si="5"/>
        <v>64</v>
      </c>
      <c r="F114" s="6">
        <v>0.93600000000000005</v>
      </c>
      <c r="G114" s="6">
        <f t="shared" si="6"/>
        <v>0.74400000000000022</v>
      </c>
      <c r="H114" s="6"/>
      <c r="I114" s="6"/>
      <c r="J114" s="6"/>
      <c r="K114" s="6"/>
      <c r="L114" s="6"/>
      <c r="M114" s="6"/>
      <c r="N114" s="6"/>
      <c r="O114" s="7"/>
    </row>
    <row r="115" spans="2:15" x14ac:dyDescent="0.25"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7"/>
    </row>
    <row r="116" spans="2:15" x14ac:dyDescent="0.25">
      <c r="B116" s="5"/>
      <c r="C116" s="6"/>
      <c r="D116" s="6" t="s">
        <v>77</v>
      </c>
      <c r="E116" s="12">
        <f>IF(C3=1,F104,IF(C3=2,F109,IF(C3=3,F110,IF(C3=4,F111,IF(C3=5,F112,IF(C3=6,F113,F114))))))</f>
        <v>0.88714781379814101</v>
      </c>
      <c r="F116" s="6"/>
      <c r="G116" s="6"/>
      <c r="H116" s="6"/>
      <c r="I116" s="6"/>
      <c r="J116" s="6"/>
      <c r="K116" s="6"/>
      <c r="L116" s="6"/>
      <c r="M116" s="6"/>
      <c r="N116" s="6"/>
      <c r="O116" s="7"/>
    </row>
    <row r="117" spans="2:15" x14ac:dyDescent="0.25">
      <c r="B117" s="5"/>
      <c r="C117" s="12"/>
      <c r="D117" s="6" t="s">
        <v>99</v>
      </c>
      <c r="E117" s="13">
        <f>IF(C3=1,1.01325*910/400*(4095-4095*E116),1.01325*910/100*(4095-4095*E116))</f>
        <v>1065.2753953994256</v>
      </c>
      <c r="F117" s="6"/>
      <c r="G117" s="6"/>
      <c r="H117" s="6"/>
      <c r="I117" s="6"/>
      <c r="J117" s="6"/>
      <c r="K117" s="6"/>
      <c r="L117" s="6"/>
      <c r="M117" s="6"/>
      <c r="N117" s="6"/>
      <c r="O117" s="7"/>
    </row>
    <row r="118" spans="2:15" ht="15.75" thickBot="1" x14ac:dyDescent="0.3"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0"/>
    </row>
    <row r="119" spans="2:15" x14ac:dyDescent="0.25"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4"/>
    </row>
    <row r="120" spans="2:15" x14ac:dyDescent="0.25">
      <c r="B120" s="5" t="s">
        <v>98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7"/>
    </row>
    <row r="121" spans="2:15" x14ac:dyDescent="0.25">
      <c r="B121" s="5"/>
      <c r="C121" s="6"/>
      <c r="D121" s="6"/>
      <c r="E121" s="6"/>
      <c r="F121" s="6" t="s">
        <v>154</v>
      </c>
      <c r="G121" s="6"/>
      <c r="H121" s="6"/>
      <c r="I121" s="6"/>
      <c r="J121" s="6"/>
      <c r="K121" s="6"/>
      <c r="L121" s="6"/>
      <c r="M121" s="6"/>
      <c r="N121" s="6"/>
      <c r="O121" s="7"/>
    </row>
    <row r="122" spans="2:15" x14ac:dyDescent="0.25">
      <c r="B122" s="5"/>
      <c r="C122" s="6" t="s">
        <v>66</v>
      </c>
      <c r="D122" s="6">
        <f>IF(K3&lt;7,Eingaben!F7,Eingaben!H7)</f>
        <v>1.2928999999999999</v>
      </c>
      <c r="E122" s="6"/>
      <c r="F122" s="6">
        <f>D122*14/1.01325</f>
        <v>17.86390328151986</v>
      </c>
      <c r="G122" s="6"/>
      <c r="H122" s="6"/>
      <c r="I122" s="6"/>
      <c r="J122" s="6"/>
      <c r="K122" s="6"/>
      <c r="L122" s="6"/>
      <c r="M122" s="6"/>
      <c r="N122" s="6"/>
      <c r="O122" s="7"/>
    </row>
    <row r="123" spans="2:15" x14ac:dyDescent="0.25">
      <c r="B123" s="5"/>
      <c r="C123" s="6" t="s">
        <v>92</v>
      </c>
      <c r="D123" s="6">
        <f>D122*Eingaben!E9/1.01325*273.15/(273.15+Eingaben!E10)</f>
        <v>1.1889391538576424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7"/>
    </row>
    <row r="124" spans="2:15" x14ac:dyDescent="0.25">
      <c r="B124" s="5" t="s">
        <v>107</v>
      </c>
      <c r="C124" s="6"/>
      <c r="D124" s="6"/>
      <c r="E124" s="6"/>
      <c r="F124" s="6">
        <f>Eingaben!E11/Berechnungen!G67</f>
        <v>1034.32</v>
      </c>
      <c r="G124" s="6"/>
      <c r="H124" s="6"/>
      <c r="I124" s="6"/>
      <c r="J124" s="6"/>
      <c r="K124" s="6"/>
      <c r="L124" s="6"/>
      <c r="M124" s="6"/>
      <c r="N124" s="6"/>
      <c r="O124" s="7"/>
    </row>
    <row r="125" spans="2:15" x14ac:dyDescent="0.25"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7"/>
    </row>
    <row r="126" spans="2:15" x14ac:dyDescent="0.25"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7"/>
    </row>
    <row r="127" spans="2:15" x14ac:dyDescent="0.25">
      <c r="B127" s="5" t="s">
        <v>95</v>
      </c>
      <c r="C127" s="6"/>
      <c r="D127" s="6">
        <f>250*F$122/D$123*(F124/C62)^2</f>
        <v>13.963236476099175</v>
      </c>
      <c r="E127" s="6" t="s">
        <v>96</v>
      </c>
      <c r="F127" s="6"/>
      <c r="G127" s="6"/>
      <c r="H127" s="6"/>
      <c r="I127" s="6"/>
      <c r="J127" s="6"/>
      <c r="K127" s="6"/>
      <c r="L127" s="6"/>
      <c r="M127" s="6"/>
      <c r="N127" s="6"/>
      <c r="O127" s="7"/>
    </row>
    <row r="128" spans="2:15" x14ac:dyDescent="0.25">
      <c r="B128" s="5" t="s">
        <v>97</v>
      </c>
      <c r="C128" s="6"/>
      <c r="D128" s="11">
        <f>D127*G102/400</f>
        <v>0.78548083443337713</v>
      </c>
      <c r="E128" s="6" t="s">
        <v>96</v>
      </c>
      <c r="F128" s="6"/>
      <c r="G128" s="6"/>
      <c r="H128" s="6"/>
      <c r="I128" s="6"/>
      <c r="J128" s="6"/>
      <c r="K128" s="6"/>
      <c r="L128" s="6"/>
      <c r="M128" s="6"/>
      <c r="N128" s="6"/>
      <c r="O128" s="7"/>
    </row>
    <row r="129" spans="2:15" x14ac:dyDescent="0.25"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7"/>
    </row>
    <row r="130" spans="2:15" ht="15.75" thickBot="1" x14ac:dyDescent="0.3"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10"/>
    </row>
    <row r="132" spans="2:15" x14ac:dyDescent="0.25">
      <c r="C132" t="s">
        <v>108</v>
      </c>
      <c r="H132" t="s">
        <v>111</v>
      </c>
      <c r="I132">
        <f>IF(G3=2,0.02,0.01)</f>
        <v>0.02</v>
      </c>
    </row>
    <row r="134" spans="2:15" x14ac:dyDescent="0.25">
      <c r="C134" t="s">
        <v>117</v>
      </c>
      <c r="E134">
        <f>IF(Eingaben!H19=1,Eingaben!E19,IF(Eingaben!H20=1,Eingaben!E20,IF(Eingaben!H21=1,Eingaben!E21,IF(Eingaben!H22=1,Eingaben!E22,0))))</f>
        <v>1312.1252997917729</v>
      </c>
    </row>
    <row r="136" spans="2:15" x14ac:dyDescent="0.25">
      <c r="C136" t="s">
        <v>109</v>
      </c>
      <c r="D136" t="s">
        <v>124</v>
      </c>
      <c r="E136" t="s">
        <v>110</v>
      </c>
      <c r="F136" t="s">
        <v>149</v>
      </c>
      <c r="G136" t="s">
        <v>118</v>
      </c>
      <c r="H136" t="s">
        <v>127</v>
      </c>
      <c r="I136" t="s">
        <v>144</v>
      </c>
      <c r="J136" t="s">
        <v>174</v>
      </c>
      <c r="K136" t="s">
        <v>175</v>
      </c>
      <c r="L136" t="s">
        <v>177</v>
      </c>
      <c r="M136" t="s">
        <v>176</v>
      </c>
    </row>
    <row r="137" spans="2:15" x14ac:dyDescent="0.25">
      <c r="C137">
        <v>0.05</v>
      </c>
      <c r="D137">
        <f>E$134*Berechnungen!C137</f>
        <v>65.606264989588652</v>
      </c>
      <c r="E137">
        <f t="shared" ref="E137:E156" si="7">C137^2*E$158</f>
        <v>9.390673622551711E-2</v>
      </c>
      <c r="F137" s="15">
        <f>$I$132+(SQRT(1+(0.3/$E137))-1)</f>
        <v>1.0680866679750269</v>
      </c>
      <c r="G137" s="15">
        <f>$I$132+(SQRT(1+(0.1/$E137))-1)</f>
        <v>0.45697123603049783</v>
      </c>
      <c r="H137" s="15">
        <f t="shared" ref="H137:H156" si="8">F137*C137</f>
        <v>5.340433339875135E-2</v>
      </c>
      <c r="I137" s="15">
        <f t="shared" ref="I137:I156" si="9">G137*C137</f>
        <v>2.2848561801524891E-2</v>
      </c>
      <c r="J137" s="15">
        <f>IF(F137&gt;0.04,F137,0.04)</f>
        <v>1.0680866679750269</v>
      </c>
      <c r="K137" s="15">
        <f>IF(G137&gt;0.02,G137,0.02)</f>
        <v>0.45697123603049783</v>
      </c>
      <c r="L137" s="15">
        <f>J137*D137/Eingaben!E$22</f>
        <v>5.3404333398751344E-3</v>
      </c>
      <c r="M137" s="15">
        <f>K137*D137/Eingaben!E$22</f>
        <v>2.2848561801524893E-3</v>
      </c>
    </row>
    <row r="138" spans="2:15" x14ac:dyDescent="0.25">
      <c r="C138">
        <f>C137+0.05</f>
        <v>0.1</v>
      </c>
      <c r="D138">
        <f>E$134*Berechnungen!C138</f>
        <v>131.2125299791773</v>
      </c>
      <c r="E138">
        <f t="shared" si="7"/>
        <v>0.37562694490206844</v>
      </c>
      <c r="F138" s="15">
        <f>$I$132+(SQRT(1+(0.3/$E138))-1)</f>
        <v>0.36114307584398397</v>
      </c>
      <c r="G138" s="15">
        <f>$I$132+(SQRT(1+(0.1/$E138))-1)</f>
        <v>0.14526511689234997</v>
      </c>
      <c r="H138" s="15">
        <f t="shared" si="8"/>
        <v>3.6114307584398396E-2</v>
      </c>
      <c r="I138" s="15">
        <f t="shared" si="9"/>
        <v>1.4526511689234998E-2</v>
      </c>
      <c r="J138" s="15">
        <f t="shared" ref="J138:J156" si="10">IF(F138&gt;0.04,F138,0.04)</f>
        <v>0.36114307584398397</v>
      </c>
      <c r="K138" s="15">
        <f t="shared" ref="K138:K156" si="11">IF(G138&gt;0.02,G138,0.02)</f>
        <v>0.14526511689234997</v>
      </c>
      <c r="L138" s="15">
        <f>J138*D138/Eingaben!E$22</f>
        <v>3.6114307584398397E-3</v>
      </c>
      <c r="M138" s="15">
        <f>K138*D138/Eingaben!E$22</f>
        <v>1.4526511689234999E-3</v>
      </c>
    </row>
    <row r="139" spans="2:15" x14ac:dyDescent="0.25">
      <c r="C139">
        <f t="shared" ref="C139:C156" si="12">C138+0.05</f>
        <v>0.15000000000000002</v>
      </c>
      <c r="D139">
        <f>E$134*Berechnungen!C139</f>
        <v>196.81879496876596</v>
      </c>
      <c r="E139">
        <f t="shared" si="7"/>
        <v>0.84516062602965403</v>
      </c>
      <c r="F139" s="15">
        <f>$I$132+(SQRT(1+(0.3/$E139))-1)</f>
        <v>0.18402839787510003</v>
      </c>
      <c r="G139" s="15">
        <f>$I$132+(SQRT(1+(0.1/$E139))-1)</f>
        <v>7.7506833872272182E-2</v>
      </c>
      <c r="H139" s="15">
        <f t="shared" si="8"/>
        <v>2.7604259681265009E-2</v>
      </c>
      <c r="I139" s="15">
        <f t="shared" si="9"/>
        <v>1.1626025080840829E-2</v>
      </c>
      <c r="J139" s="15">
        <f t="shared" si="10"/>
        <v>0.18402839787510003</v>
      </c>
      <c r="K139" s="15">
        <f t="shared" si="11"/>
        <v>7.7506833872272182E-2</v>
      </c>
      <c r="L139" s="15">
        <f>J139*D139/Eingaben!E$22</f>
        <v>2.7604259681265004E-3</v>
      </c>
      <c r="M139" s="15">
        <f>K139*D139/Eingaben!E$22</f>
        <v>1.1626025080840826E-3</v>
      </c>
    </row>
    <row r="140" spans="2:15" x14ac:dyDescent="0.25">
      <c r="C140">
        <f t="shared" si="12"/>
        <v>0.2</v>
      </c>
      <c r="D140">
        <f>E$134*Berechnungen!C140</f>
        <v>262.42505995835461</v>
      </c>
      <c r="E140">
        <f t="shared" si="7"/>
        <v>1.5025077796082738</v>
      </c>
      <c r="F140" s="15">
        <f>$I$132+(SQRT(1+(0.3/$E140))-1)</f>
        <v>0.11529274053609305</v>
      </c>
      <c r="G140" s="15">
        <f>$I$132+(SQRT(1+(0.1/$E140))-1)</f>
        <v>5.2741688818500373E-2</v>
      </c>
      <c r="H140" s="15">
        <f t="shared" si="8"/>
        <v>2.3058548107218611E-2</v>
      </c>
      <c r="I140" s="15">
        <f t="shared" si="9"/>
        <v>1.0548337763700075E-2</v>
      </c>
      <c r="J140" s="15">
        <f t="shared" si="10"/>
        <v>0.11529274053609305</v>
      </c>
      <c r="K140" s="15">
        <f t="shared" si="11"/>
        <v>5.2741688818500373E-2</v>
      </c>
      <c r="L140" s="15">
        <f>J140*D140/Eingaben!E$22</f>
        <v>2.3058548107218611E-3</v>
      </c>
      <c r="M140" s="15">
        <f>K140*D140/Eingaben!E$22</f>
        <v>1.0548337763700074E-3</v>
      </c>
    </row>
    <row r="141" spans="2:15" x14ac:dyDescent="0.25">
      <c r="C141">
        <f t="shared" si="12"/>
        <v>0.25</v>
      </c>
      <c r="D141">
        <f>E$134*Berechnungen!C141</f>
        <v>328.03132494794323</v>
      </c>
      <c r="E141">
        <f t="shared" si="7"/>
        <v>2.3476684056379273</v>
      </c>
      <c r="F141" s="15">
        <f>$I$132+(SQRT(1+(0.3/$E141))-1)</f>
        <v>8.197286216808862E-2</v>
      </c>
      <c r="G141" s="15">
        <f>$I$132+(SQRT(1+(0.1/$E141))-1)</f>
        <v>4.1075635458588597E-2</v>
      </c>
      <c r="H141" s="15">
        <f t="shared" si="8"/>
        <v>2.0493215542022155E-2</v>
      </c>
      <c r="I141" s="15">
        <f t="shared" si="9"/>
        <v>1.0268908864647149E-2</v>
      </c>
      <c r="J141" s="15">
        <f t="shared" si="10"/>
        <v>8.197286216808862E-2</v>
      </c>
      <c r="K141" s="15">
        <f t="shared" si="11"/>
        <v>4.1075635458588597E-2</v>
      </c>
      <c r="L141" s="15">
        <f>J141*D141/Eingaben!E$22</f>
        <v>2.0493215542022156E-3</v>
      </c>
      <c r="M141" s="15">
        <f>K141*D141/Eingaben!E$22</f>
        <v>1.0268908864647149E-3</v>
      </c>
    </row>
    <row r="142" spans="2:15" x14ac:dyDescent="0.25">
      <c r="C142">
        <f t="shared" si="12"/>
        <v>0.3</v>
      </c>
      <c r="D142">
        <f>E$134*Berechnungen!C142</f>
        <v>393.63758993753186</v>
      </c>
      <c r="E142">
        <f t="shared" si="7"/>
        <v>3.3806425041186152</v>
      </c>
      <c r="F142" s="15">
        <f>$I$132+(SQRT(1+(0.3/$E142))-1)</f>
        <v>6.3427298744343816E-2</v>
      </c>
      <c r="G142" s="15">
        <f>$I$132+(SQRT(1+(0.1/$E142))-1)</f>
        <v>3.4682302950849384E-2</v>
      </c>
      <c r="H142" s="15">
        <f t="shared" si="8"/>
        <v>1.9028189623303143E-2</v>
      </c>
      <c r="I142" s="15">
        <f t="shared" si="9"/>
        <v>1.0404690885254815E-2</v>
      </c>
      <c r="J142" s="15">
        <f t="shared" si="10"/>
        <v>6.3427298744343816E-2</v>
      </c>
      <c r="K142" s="15">
        <f t="shared" si="11"/>
        <v>3.4682302950849384E-2</v>
      </c>
      <c r="L142" s="15">
        <f>J142*D142/Eingaben!E$22</f>
        <v>1.9028189623303141E-3</v>
      </c>
      <c r="M142" s="15">
        <f>K142*D142/Eingaben!E$22</f>
        <v>1.0404690885254812E-3</v>
      </c>
    </row>
    <row r="143" spans="2:15" x14ac:dyDescent="0.25">
      <c r="C143">
        <f t="shared" si="12"/>
        <v>0.35</v>
      </c>
      <c r="D143">
        <f>E$134*Berechnungen!C143</f>
        <v>459.24385492712048</v>
      </c>
      <c r="E143">
        <f t="shared" si="7"/>
        <v>4.6014300750503372</v>
      </c>
      <c r="F143" s="15">
        <f>$I$132+(SQRT(1+(0.3/$E143))-1)</f>
        <v>5.2083873742600137E-2</v>
      </c>
      <c r="G143" s="15">
        <f>$I$132+(SQRT(1+(0.1/$E143))-1)</f>
        <v>3.0807782986711257E-2</v>
      </c>
      <c r="H143" s="15">
        <f t="shared" si="8"/>
        <v>1.8229355809910048E-2</v>
      </c>
      <c r="I143" s="15">
        <f t="shared" si="9"/>
        <v>1.0782724045348939E-2</v>
      </c>
      <c r="J143" s="15">
        <f t="shared" si="10"/>
        <v>5.2083873742600137E-2</v>
      </c>
      <c r="K143" s="15">
        <f t="shared" si="11"/>
        <v>3.0807782986711257E-2</v>
      </c>
      <c r="L143" s="15">
        <f>J143*D143/Eingaben!E$22</f>
        <v>1.8229355809910044E-3</v>
      </c>
      <c r="M143" s="15">
        <f>K143*D143/Eingaben!E$22</f>
        <v>1.0782724045348938E-3</v>
      </c>
    </row>
    <row r="144" spans="2:15" x14ac:dyDescent="0.25">
      <c r="C144">
        <f t="shared" si="12"/>
        <v>0.39999999999999997</v>
      </c>
      <c r="D144">
        <f>E$134*Berechnungen!C144</f>
        <v>524.8501199167091</v>
      </c>
      <c r="E144">
        <f t="shared" si="7"/>
        <v>6.0100311184330932</v>
      </c>
      <c r="F144" s="15">
        <f>$I$132+(SQRT(1+(0.3/$E144))-1)</f>
        <v>4.4654354827893469E-2</v>
      </c>
      <c r="G144" s="15">
        <f>$I$132+(SQRT(1+(0.1/$E144))-1)</f>
        <v>2.828510301200125E-2</v>
      </c>
      <c r="H144" s="15">
        <f t="shared" si="8"/>
        <v>1.7861741931157388E-2</v>
      </c>
      <c r="I144" s="15">
        <f t="shared" si="9"/>
        <v>1.1314041204800498E-2</v>
      </c>
      <c r="J144" s="15">
        <f t="shared" si="10"/>
        <v>4.4654354827893469E-2</v>
      </c>
      <c r="K144" s="15">
        <f t="shared" si="11"/>
        <v>2.828510301200125E-2</v>
      </c>
      <c r="L144" s="15">
        <f>J144*D144/Eingaben!E$22</f>
        <v>1.7861741931157382E-3</v>
      </c>
      <c r="M144" s="15">
        <f>K144*D144/Eingaben!E$22</f>
        <v>1.1314041204800497E-3</v>
      </c>
    </row>
    <row r="145" spans="3:13" x14ac:dyDescent="0.25">
      <c r="C145">
        <f t="shared" si="12"/>
        <v>0.44999999999999996</v>
      </c>
      <c r="D145">
        <f>E$134*Berechnungen!C145</f>
        <v>590.45638490629779</v>
      </c>
      <c r="E145">
        <f t="shared" si="7"/>
        <v>7.6064456342668834</v>
      </c>
      <c r="F145" s="15">
        <f>$I$132+(SQRT(1+(0.3/$E145))-1)</f>
        <v>3.9529418193602547E-2</v>
      </c>
      <c r="G145" s="15">
        <f>$I$132+(SQRT(1+(0.1/$E145))-1)</f>
        <v>2.6551908673398721E-2</v>
      </c>
      <c r="H145" s="15">
        <f t="shared" si="8"/>
        <v>1.7788238187121143E-2</v>
      </c>
      <c r="I145" s="15">
        <f t="shared" si="9"/>
        <v>1.1948358903029423E-2</v>
      </c>
      <c r="J145" s="15">
        <f t="shared" si="10"/>
        <v>0.04</v>
      </c>
      <c r="K145" s="15">
        <f t="shared" si="11"/>
        <v>2.6551908673398721E-2</v>
      </c>
      <c r="L145" s="15">
        <f>J145*D145/Eingaben!E$22</f>
        <v>1.7999999999999997E-3</v>
      </c>
      <c r="M145" s="15">
        <f>K145*D145/Eingaben!E$22</f>
        <v>1.1948358903029423E-3</v>
      </c>
    </row>
    <row r="146" spans="3:13" x14ac:dyDescent="0.25">
      <c r="C146">
        <f t="shared" si="12"/>
        <v>0.49999999999999994</v>
      </c>
      <c r="D146">
        <f>E$134*Berechnungen!C146</f>
        <v>656.06264989588635</v>
      </c>
      <c r="E146">
        <f t="shared" si="7"/>
        <v>9.3906736225517076</v>
      </c>
      <c r="F146" s="15">
        <f>$I$132+(SQRT(1+(0.3/$E146))-1)</f>
        <v>3.5847719884910076E-2</v>
      </c>
      <c r="G146" s="15">
        <f>$I$132+(SQRT(1+(0.1/$E146))-1)</f>
        <v>2.5310331853696893E-2</v>
      </c>
      <c r="H146" s="15">
        <f t="shared" si="8"/>
        <v>1.7923859942455034E-2</v>
      </c>
      <c r="I146" s="15">
        <f t="shared" si="9"/>
        <v>1.2655165926848445E-2</v>
      </c>
      <c r="J146" s="15">
        <f t="shared" si="10"/>
        <v>0.04</v>
      </c>
      <c r="K146" s="15">
        <f t="shared" si="11"/>
        <v>2.5310331853696893E-2</v>
      </c>
      <c r="L146" s="15">
        <f>J146*D146/Eingaben!E$22</f>
        <v>1.9999999999999996E-3</v>
      </c>
      <c r="M146" s="15">
        <f>K146*D146/Eingaben!E$22</f>
        <v>1.2655165926848443E-3</v>
      </c>
    </row>
    <row r="147" spans="3:13" x14ac:dyDescent="0.25">
      <c r="C147">
        <f t="shared" si="12"/>
        <v>0.54999999999999993</v>
      </c>
      <c r="D147">
        <f>E$134*Berechnungen!C147</f>
        <v>721.66891488547503</v>
      </c>
      <c r="E147">
        <f t="shared" si="7"/>
        <v>11.362715083287567</v>
      </c>
      <c r="F147" s="15">
        <f>$I$132+(SQRT(1+(0.3/$E147))-1)</f>
        <v>3.3115067745042456E-2</v>
      </c>
      <c r="G147" s="15">
        <f>$I$132+(SQRT(1+(0.1/$E147))-1)</f>
        <v>2.4390717548378831E-2</v>
      </c>
      <c r="H147" s="15">
        <f t="shared" si="8"/>
        <v>1.821328725977335E-2</v>
      </c>
      <c r="I147" s="15">
        <f t="shared" si="9"/>
        <v>1.3414894651608356E-2</v>
      </c>
      <c r="J147" s="15">
        <f t="shared" si="10"/>
        <v>0.04</v>
      </c>
      <c r="K147" s="15">
        <f t="shared" si="11"/>
        <v>2.4390717548378831E-2</v>
      </c>
      <c r="L147" s="15">
        <f>J147*D147/Eingaben!E$22</f>
        <v>2.1999999999999997E-3</v>
      </c>
      <c r="M147" s="15">
        <f>K147*D147/Eingaben!E$22</f>
        <v>1.3414894651608354E-3</v>
      </c>
    </row>
    <row r="148" spans="3:13" x14ac:dyDescent="0.25">
      <c r="C148">
        <f t="shared" si="12"/>
        <v>0.6</v>
      </c>
      <c r="D148">
        <f>E$134*Berechnungen!C148</f>
        <v>787.27517987506371</v>
      </c>
      <c r="E148">
        <f t="shared" si="7"/>
        <v>13.522570016474461</v>
      </c>
      <c r="F148" s="15">
        <f>$I$132+(SQRT(1+(0.3/$E148))-1)</f>
        <v>3.103171658520652E-2</v>
      </c>
      <c r="G148" s="15">
        <f>$I$132+(SQRT(1+(0.1/$E148))-1)</f>
        <v>2.3690711315198936E-2</v>
      </c>
      <c r="H148" s="15">
        <f t="shared" si="8"/>
        <v>1.8619029951123911E-2</v>
      </c>
      <c r="I148" s="15">
        <f t="shared" si="9"/>
        <v>1.4214426789119361E-2</v>
      </c>
      <c r="J148" s="15">
        <f t="shared" si="10"/>
        <v>0.04</v>
      </c>
      <c r="K148" s="15">
        <f t="shared" si="11"/>
        <v>2.3690711315198936E-2</v>
      </c>
      <c r="L148" s="15">
        <f>J148*D148/Eingaben!E$22</f>
        <v>2.3999999999999998E-3</v>
      </c>
      <c r="M148" s="15">
        <f>K148*D148/Eingaben!E$22</f>
        <v>1.4214426789119358E-3</v>
      </c>
    </row>
    <row r="149" spans="3:13" x14ac:dyDescent="0.25">
      <c r="C149">
        <f t="shared" si="12"/>
        <v>0.65</v>
      </c>
      <c r="D149">
        <f>E$134*Berechnungen!C149</f>
        <v>852.88144486465239</v>
      </c>
      <c r="E149">
        <f t="shared" si="7"/>
        <v>15.87023842211239</v>
      </c>
      <c r="F149" s="15">
        <f>$I$132+(SQRT(1+(0.3/$E149))-1)</f>
        <v>2.9407404217726345E-2</v>
      </c>
      <c r="G149" s="15">
        <f>$I$132+(SQRT(1+(0.1/$E149))-1)</f>
        <v>2.3145603869741942E-2</v>
      </c>
      <c r="H149" s="15">
        <f t="shared" si="8"/>
        <v>1.9114812741522127E-2</v>
      </c>
      <c r="I149" s="15">
        <f t="shared" si="9"/>
        <v>1.5044642515332263E-2</v>
      </c>
      <c r="J149" s="15">
        <f t="shared" si="10"/>
        <v>0.04</v>
      </c>
      <c r="K149" s="15">
        <f t="shared" si="11"/>
        <v>2.3145603869741942E-2</v>
      </c>
      <c r="L149" s="15">
        <f>J149*D149/Eingaben!E$22</f>
        <v>2.5999999999999999E-3</v>
      </c>
      <c r="M149" s="15">
        <f>K149*D149/Eingaben!E$22</f>
        <v>1.504464251533226E-3</v>
      </c>
    </row>
    <row r="150" spans="3:13" x14ac:dyDescent="0.25">
      <c r="C150">
        <f t="shared" si="12"/>
        <v>0.70000000000000007</v>
      </c>
      <c r="D150">
        <f>E$134*Berechnungen!C150</f>
        <v>918.48770985424119</v>
      </c>
      <c r="E150">
        <f t="shared" si="7"/>
        <v>18.405720300201356</v>
      </c>
      <c r="F150" s="15">
        <f>$I$132+(SQRT(1+(0.3/$E150))-1)</f>
        <v>2.8116699896337787E-2</v>
      </c>
      <c r="G150" s="15">
        <f>$I$132+(SQRT(1+(0.1/$E150))-1)</f>
        <v>2.2712866944783788E-2</v>
      </c>
      <c r="H150" s="15">
        <f t="shared" si="8"/>
        <v>1.9681689927436453E-2</v>
      </c>
      <c r="I150" s="15">
        <f t="shared" si="9"/>
        <v>1.5899006861348652E-2</v>
      </c>
      <c r="J150" s="15">
        <f t="shared" si="10"/>
        <v>0.04</v>
      </c>
      <c r="K150" s="15">
        <f t="shared" si="11"/>
        <v>2.2712866944783788E-2</v>
      </c>
      <c r="L150" s="15">
        <f>J150*D150/Eingaben!E$22</f>
        <v>2.8E-3</v>
      </c>
      <c r="M150" s="15">
        <f>K150*D150/Eingaben!E$22</f>
        <v>1.5899006861348651E-3</v>
      </c>
    </row>
    <row r="151" spans="3:13" x14ac:dyDescent="0.25">
      <c r="C151">
        <f t="shared" si="12"/>
        <v>0.75000000000000011</v>
      </c>
      <c r="D151">
        <f>E$134*Berechnungen!C151</f>
        <v>984.09397484382987</v>
      </c>
      <c r="E151">
        <f t="shared" si="7"/>
        <v>21.129015650741355</v>
      </c>
      <c r="F151" s="15">
        <f>$I$132+(SQRT(1+(0.3/$E151))-1)</f>
        <v>2.7074219927402759E-2</v>
      </c>
      <c r="G151" s="15">
        <f>$I$132+(SQRT(1+(0.1/$E151))-1)</f>
        <v>2.2363620722271698E-2</v>
      </c>
      <c r="H151" s="15">
        <f t="shared" si="8"/>
        <v>2.0305664945552072E-2</v>
      </c>
      <c r="I151" s="15">
        <f t="shared" si="9"/>
        <v>1.6772715541703776E-2</v>
      </c>
      <c r="J151" s="15">
        <f t="shared" si="10"/>
        <v>0.04</v>
      </c>
      <c r="K151" s="15">
        <f t="shared" si="11"/>
        <v>2.2363620722271698E-2</v>
      </c>
      <c r="L151" s="15">
        <f>J151*D151/Eingaben!E$22</f>
        <v>3.0000000000000001E-3</v>
      </c>
      <c r="M151" s="15">
        <f>K151*D151/Eingaben!E$22</f>
        <v>1.6772715541703775E-3</v>
      </c>
    </row>
    <row r="152" spans="3:13" x14ac:dyDescent="0.25">
      <c r="C152">
        <f t="shared" si="12"/>
        <v>0.80000000000000016</v>
      </c>
      <c r="D152">
        <f>E$134*Berechnungen!C152</f>
        <v>1049.7002398334184</v>
      </c>
      <c r="E152">
        <f t="shared" si="7"/>
        <v>24.040124473732384</v>
      </c>
      <c r="F152" s="15">
        <f>$I$132+(SQRT(1+(0.3/$E152))-1)</f>
        <v>2.6220222772799211E-2</v>
      </c>
      <c r="G152" s="15">
        <f>$I$132+(SQRT(1+(0.1/$E152))-1)</f>
        <v>2.2077697705612281E-2</v>
      </c>
      <c r="H152" s="15">
        <f t="shared" si="8"/>
        <v>2.0976178218239373E-2</v>
      </c>
      <c r="I152" s="15">
        <f t="shared" si="9"/>
        <v>1.7662158164489829E-2</v>
      </c>
      <c r="J152" s="15">
        <f t="shared" si="10"/>
        <v>0.04</v>
      </c>
      <c r="K152" s="15">
        <f t="shared" si="11"/>
        <v>2.2077697705612281E-2</v>
      </c>
      <c r="L152" s="15">
        <f>J152*D152/Eingaben!E$22</f>
        <v>3.2000000000000002E-3</v>
      </c>
      <c r="M152" s="15">
        <f>K152*D152/Eingaben!E$22</f>
        <v>1.7662158164489824E-3</v>
      </c>
    </row>
    <row r="153" spans="3:13" x14ac:dyDescent="0.25">
      <c r="C153">
        <f t="shared" si="12"/>
        <v>0.8500000000000002</v>
      </c>
      <c r="D153">
        <f>E$134*Berechnungen!C153</f>
        <v>1115.3065048230073</v>
      </c>
      <c r="E153">
        <f t="shared" si="7"/>
        <v>27.139046769174453</v>
      </c>
      <c r="F153" s="15">
        <f>$I$132+(SQRT(1+(0.3/$E153))-1)</f>
        <v>2.551190116746092E-2</v>
      </c>
      <c r="G153" s="15">
        <f>$I$132+(SQRT(1+(0.1/$E153))-1)</f>
        <v>2.1840669865456724E-2</v>
      </c>
      <c r="H153" s="15">
        <f t="shared" si="8"/>
        <v>2.1685115992341786E-2</v>
      </c>
      <c r="I153" s="15">
        <f t="shared" si="9"/>
        <v>1.8564569385638219E-2</v>
      </c>
      <c r="J153" s="15">
        <f t="shared" si="10"/>
        <v>0.04</v>
      </c>
      <c r="K153" s="15">
        <f t="shared" si="11"/>
        <v>2.1840669865456724E-2</v>
      </c>
      <c r="L153" s="15">
        <f>J153*D153/Eingaben!E$22</f>
        <v>3.4000000000000007E-3</v>
      </c>
      <c r="M153" s="15">
        <f>K153*D153/Eingaben!E$22</f>
        <v>1.856456938563822E-3</v>
      </c>
    </row>
    <row r="154" spans="3:13" x14ac:dyDescent="0.25">
      <c r="C154">
        <f t="shared" si="12"/>
        <v>0.90000000000000024</v>
      </c>
      <c r="D154">
        <f>E$134*Berechnungen!C154</f>
        <v>1180.912769812596</v>
      </c>
      <c r="E154">
        <f t="shared" si="7"/>
        <v>30.425782537067551</v>
      </c>
      <c r="F154" s="15">
        <f>$I$132+(SQRT(1+(0.3/$E154))-1)</f>
        <v>2.4917936271686907E-2</v>
      </c>
      <c r="G154" s="15">
        <f>$I$132+(SQRT(1+(0.1/$E154))-1)</f>
        <v>2.1641995032913624E-2</v>
      </c>
      <c r="H154" s="15">
        <f t="shared" si="8"/>
        <v>2.2426142644518223E-2</v>
      </c>
      <c r="I154" s="15">
        <f t="shared" si="9"/>
        <v>1.9477795529622265E-2</v>
      </c>
      <c r="J154" s="15">
        <f t="shared" si="10"/>
        <v>0.04</v>
      </c>
      <c r="K154" s="15">
        <f t="shared" si="11"/>
        <v>2.1641995032913624E-2</v>
      </c>
      <c r="L154" s="15">
        <f>J154*D154/Eingaben!E$22</f>
        <v>3.6000000000000008E-3</v>
      </c>
      <c r="M154" s="15">
        <f>K154*D154/Eingaben!E$22</f>
        <v>1.9477795529622267E-3</v>
      </c>
    </row>
    <row r="155" spans="3:13" x14ac:dyDescent="0.25">
      <c r="C155">
        <f t="shared" si="12"/>
        <v>0.95000000000000029</v>
      </c>
      <c r="D155">
        <f>E$134*Berechnungen!C155</f>
        <v>1246.5190348021847</v>
      </c>
      <c r="E155">
        <f t="shared" si="7"/>
        <v>33.900331777411694</v>
      </c>
      <c r="F155" s="15">
        <f>$I$132+(SQRT(1+(0.3/$E155))-1)</f>
        <v>2.4414989390762348E-2</v>
      </c>
      <c r="G155" s="15">
        <f>$I$132+(SQRT(1+(0.1/$E155))-1)</f>
        <v>2.1473825737654977E-2</v>
      </c>
      <c r="H155" s="15">
        <f t="shared" si="8"/>
        <v>2.3194239921224238E-2</v>
      </c>
      <c r="I155" s="15">
        <f t="shared" si="9"/>
        <v>2.0400134450772236E-2</v>
      </c>
      <c r="J155" s="15">
        <f t="shared" si="10"/>
        <v>0.04</v>
      </c>
      <c r="K155" s="15">
        <f t="shared" si="11"/>
        <v>2.1473825737654977E-2</v>
      </c>
      <c r="L155" s="15">
        <f>J155*D155/Eingaben!E$22</f>
        <v>3.8000000000000009E-3</v>
      </c>
      <c r="M155" s="15">
        <f>K155*D155/Eingaben!E$22</f>
        <v>2.0400134450772231E-3</v>
      </c>
    </row>
    <row r="156" spans="3:13" x14ac:dyDescent="0.25">
      <c r="C156">
        <f t="shared" si="12"/>
        <v>1.0000000000000002</v>
      </c>
      <c r="D156">
        <f>E$134*Berechnungen!C156</f>
        <v>1312.1252997917732</v>
      </c>
      <c r="E156">
        <f t="shared" si="7"/>
        <v>37.562694490206852</v>
      </c>
      <c r="F156" s="15">
        <f>$I$132+(SQRT(1+(0.3/$E156))-1)</f>
        <v>2.3985382114123582E-2</v>
      </c>
      <c r="G156" s="15">
        <f>$I$132+(SQRT(1+(0.1/$E156))-1)</f>
        <v>2.1330223169633272E-2</v>
      </c>
      <c r="H156" s="15">
        <f t="shared" si="8"/>
        <v>2.3985382114123589E-2</v>
      </c>
      <c r="I156" s="15">
        <f t="shared" si="9"/>
        <v>2.1330223169633275E-2</v>
      </c>
      <c r="J156" s="15">
        <f t="shared" si="10"/>
        <v>0.04</v>
      </c>
      <c r="K156" s="15">
        <f t="shared" si="11"/>
        <v>2.1330223169633272E-2</v>
      </c>
      <c r="L156" s="15">
        <f>J156*D156/Eingaben!E$22</f>
        <v>4.000000000000001E-3</v>
      </c>
      <c r="M156" s="15">
        <f>K156*D156/Eingaben!E$22</f>
        <v>2.1330223169633276E-3</v>
      </c>
    </row>
    <row r="158" spans="3:13" x14ac:dyDescent="0.25">
      <c r="D158" t="s">
        <v>150</v>
      </c>
      <c r="E158">
        <f>Eingaben!E28*(Berechnungen!D156/Eingaben!E11)^2</f>
        <v>37.562694490206837</v>
      </c>
    </row>
    <row r="161" spans="2:6" x14ac:dyDescent="0.25">
      <c r="B161" t="s">
        <v>180</v>
      </c>
      <c r="D161" t="s">
        <v>181</v>
      </c>
      <c r="E161">
        <f>F124</f>
        <v>1034.32</v>
      </c>
      <c r="F161" t="s">
        <v>22</v>
      </c>
    </row>
    <row r="162" spans="2:6" x14ac:dyDescent="0.25">
      <c r="D162" t="s">
        <v>182</v>
      </c>
      <c r="E162">
        <f>Eingaben!E27</f>
        <v>1.1889391538576424</v>
      </c>
      <c r="F162" t="s">
        <v>94</v>
      </c>
    </row>
    <row r="163" spans="2:6" x14ac:dyDescent="0.25">
      <c r="D163" t="s">
        <v>183</v>
      </c>
      <c r="E163">
        <f>E161/E162/3600</f>
        <v>0.24165333455366406</v>
      </c>
      <c r="F163" t="s">
        <v>185</v>
      </c>
    </row>
    <row r="164" spans="2:6" x14ac:dyDescent="0.25">
      <c r="D164" t="s">
        <v>70</v>
      </c>
      <c r="E164">
        <f>IF(C3=1,Eingaben!F6,IF(C3=2,20,IF(C3=3,15,IF(C3=4,10,IF(C3=5,8,IF(C3=6,6,4))))))</f>
        <v>107.3</v>
      </c>
      <c r="F164" t="s">
        <v>35</v>
      </c>
    </row>
    <row r="165" spans="2:6" x14ac:dyDescent="0.25">
      <c r="D165" t="s">
        <v>186</v>
      </c>
      <c r="E165">
        <f>PI()*(E164/1000)^2/4</f>
        <v>9.042516820662207E-3</v>
      </c>
      <c r="F165" t="s">
        <v>187</v>
      </c>
    </row>
    <row r="166" spans="2:6" x14ac:dyDescent="0.25">
      <c r="D166" t="s">
        <v>188</v>
      </c>
      <c r="E166">
        <f>E163/E165</f>
        <v>26.724123310612448</v>
      </c>
      <c r="F166" t="s">
        <v>184</v>
      </c>
    </row>
  </sheetData>
  <sheetProtection password="DEDA"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Eingaben</vt:lpstr>
      <vt:lpstr>Berechnungen</vt:lpstr>
      <vt:lpstr>Tabelle1</vt:lpstr>
      <vt:lpstr>Tabelle2</vt:lpstr>
      <vt:lpstr>Tabelle3</vt:lpstr>
      <vt:lpstr>Tabelle4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OliverB</dc:creator>
  <cp:lastModifiedBy>OliverB</cp:lastModifiedBy>
  <cp:lastPrinted>2019-04-10T07:16:16Z</cp:lastPrinted>
  <dcterms:created xsi:type="dcterms:W3CDTF">2019-01-18T06:47:24Z</dcterms:created>
  <dcterms:modified xsi:type="dcterms:W3CDTF">2019-04-10T07:18:54Z</dcterms:modified>
</cp:coreProperties>
</file>