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erB\Desktop\"/>
    </mc:Choice>
  </mc:AlternateContent>
  <xr:revisionPtr revIDLastSave="0" documentId="8_{3A0F9232-88A3-4DE4-941B-EA271E5AF573}" xr6:coauthVersionLast="47" xr6:coauthVersionMax="47" xr10:uidLastSave="{00000000-0000-0000-0000-000000000000}"/>
  <bookViews>
    <workbookView xWindow="-120" yWindow="-120" windowWidth="29040" windowHeight="15720" xr2:uid="{2D3DA13D-5C51-4ED5-BC05-F1462591C738}"/>
  </bookViews>
  <sheets>
    <sheet name="Inputs" sheetId="1" r:id="rId1"/>
    <sheet name="Output Protocol_D" sheetId="6" r:id="rId2"/>
    <sheet name="Output Protocol_E" sheetId="4" r:id="rId3"/>
    <sheet name="Berechnung Unsicherheit" sheetId="5" state="hidden" r:id="rId4"/>
    <sheet name="P10 Druckverlust" sheetId="3" state="hidden" r:id="rId5"/>
  </sheets>
  <definedNames>
    <definedName name="_xlnm.Print_Area" localSheetId="0">Inputs!$B$1:$E$67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4" l="1"/>
  <c r="H7" i="4" l="1"/>
  <c r="J7" i="6"/>
  <c r="J7" i="4" s="1"/>
  <c r="I7" i="6"/>
  <c r="I7" i="4" s="1"/>
  <c r="G30" i="6" l="1"/>
  <c r="E30" i="6"/>
  <c r="B30" i="6"/>
  <c r="G29" i="6"/>
  <c r="E29" i="6"/>
  <c r="B29" i="6"/>
  <c r="G28" i="6"/>
  <c r="E28" i="6"/>
  <c r="B28" i="6"/>
  <c r="I27" i="6"/>
  <c r="G27" i="6"/>
  <c r="E27" i="6"/>
  <c r="B27" i="6"/>
  <c r="I26" i="6"/>
  <c r="G26" i="6"/>
  <c r="E26" i="6"/>
  <c r="B26" i="6"/>
  <c r="I25" i="6"/>
  <c r="G25" i="6"/>
  <c r="E25" i="6"/>
  <c r="B25" i="6"/>
  <c r="D12" i="6"/>
  <c r="E10" i="6"/>
  <c r="F9" i="6"/>
  <c r="F15" i="6" s="1"/>
  <c r="F16" i="6" s="1"/>
  <c r="E9" i="6"/>
  <c r="E16" i="6" s="1"/>
  <c r="F8" i="6"/>
  <c r="E8" i="6"/>
  <c r="E18" i="6" s="1"/>
  <c r="F7" i="6"/>
  <c r="E7" i="6"/>
  <c r="E17" i="6" s="1"/>
  <c r="H6" i="6"/>
  <c r="G6" i="6"/>
  <c r="F6" i="6"/>
  <c r="C6" i="6"/>
  <c r="C5" i="6"/>
  <c r="F3" i="6"/>
  <c r="L96" i="1"/>
  <c r="N89" i="1"/>
  <c r="N87" i="1"/>
  <c r="N88" i="1"/>
  <c r="O96" i="1" l="1"/>
  <c r="M96" i="1"/>
  <c r="N92" i="1"/>
  <c r="N91" i="1"/>
  <c r="L105" i="1" l="1"/>
  <c r="L100" i="1"/>
  <c r="L104" i="1"/>
  <c r="L103" i="1"/>
  <c r="L102" i="1"/>
  <c r="L101" i="1"/>
  <c r="P110" i="1"/>
  <c r="W111" i="1" l="1"/>
  <c r="W110" i="1"/>
  <c r="X111" i="1"/>
  <c r="X110" i="1"/>
  <c r="Q21" i="1" l="1"/>
  <c r="P21" i="1"/>
  <c r="R22" i="1" l="1"/>
  <c r="U44" i="1"/>
  <c r="O46" i="1" s="1"/>
  <c r="C21" i="1"/>
  <c r="E40" i="1"/>
  <c r="I25" i="4"/>
  <c r="I27" i="4"/>
  <c r="I26" i="4"/>
  <c r="G30" i="4"/>
  <c r="G29" i="4"/>
  <c r="G28" i="4"/>
  <c r="G27" i="4"/>
  <c r="G26" i="4"/>
  <c r="G25" i="4"/>
  <c r="E30" i="4"/>
  <c r="E29" i="4"/>
  <c r="E28" i="4"/>
  <c r="E27" i="4"/>
  <c r="E26" i="4"/>
  <c r="E25" i="4"/>
  <c r="B30" i="4"/>
  <c r="B29" i="4"/>
  <c r="B28" i="4"/>
  <c r="B27" i="4"/>
  <c r="B26" i="4"/>
  <c r="B25" i="4"/>
  <c r="E6" i="5"/>
  <c r="E5" i="5"/>
  <c r="B11" i="5" s="1"/>
  <c r="D5" i="5"/>
  <c r="N85" i="1"/>
  <c r="N86" i="1" s="1"/>
  <c r="N76" i="1"/>
  <c r="N77" i="1" s="1"/>
  <c r="N73" i="1"/>
  <c r="N74" i="1" s="1"/>
  <c r="D52" i="1"/>
  <c r="D50" i="1"/>
  <c r="D49" i="1"/>
  <c r="E10" i="4"/>
  <c r="F9" i="4"/>
  <c r="F15" i="4" s="1"/>
  <c r="E9" i="4"/>
  <c r="E16" i="4" s="1"/>
  <c r="F8" i="4"/>
  <c r="E8" i="4"/>
  <c r="E18" i="4" s="1"/>
  <c r="F7" i="4"/>
  <c r="E7" i="4"/>
  <c r="E17" i="4" s="1"/>
  <c r="N44" i="1"/>
  <c r="H6" i="4"/>
  <c r="G6" i="4"/>
  <c r="F6" i="4"/>
  <c r="C6" i="4"/>
  <c r="E43" i="1"/>
  <c r="E42" i="1"/>
  <c r="E41" i="1"/>
  <c r="C5" i="4"/>
  <c r="C14" i="1"/>
  <c r="D12" i="4"/>
  <c r="F3" i="4"/>
  <c r="C30" i="4" l="1"/>
  <c r="C30" i="6"/>
  <c r="F20" i="6"/>
  <c r="F21" i="6" s="1"/>
  <c r="D5" i="4"/>
  <c r="D5" i="6"/>
  <c r="G5" i="4"/>
  <c r="G5" i="6"/>
  <c r="C27" i="4"/>
  <c r="C27" i="6"/>
  <c r="F5" i="4"/>
  <c r="F5" i="6"/>
  <c r="E5" i="4"/>
  <c r="E5" i="6"/>
  <c r="C28" i="4"/>
  <c r="C28" i="6"/>
  <c r="F20" i="4"/>
  <c r="F21" i="4" s="1"/>
  <c r="K191" i="1"/>
  <c r="K193" i="1"/>
  <c r="K194" i="1"/>
  <c r="K195" i="1"/>
  <c r="K196" i="1"/>
  <c r="K197" i="1"/>
  <c r="K192" i="1"/>
  <c r="K198" i="1"/>
  <c r="D44" i="1"/>
  <c r="B12" i="5"/>
  <c r="F16" i="4"/>
  <c r="E15" i="3"/>
  <c r="E14" i="3"/>
  <c r="E13" i="3"/>
  <c r="E12" i="3"/>
  <c r="E11" i="3"/>
  <c r="E10" i="3"/>
  <c r="E9" i="3"/>
  <c r="E8" i="3"/>
  <c r="E7" i="3"/>
  <c r="E6" i="3"/>
  <c r="E5" i="3"/>
  <c r="E4" i="3"/>
  <c r="E3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D12" i="3"/>
  <c r="D13" i="3" s="1"/>
  <c r="D14" i="3" s="1"/>
  <c r="D15" i="3" s="1"/>
  <c r="J22" i="4" l="1"/>
  <c r="J22" i="6"/>
  <c r="J20" i="4"/>
  <c r="J20" i="6"/>
  <c r="J16" i="4"/>
  <c r="J16" i="6"/>
  <c r="J21" i="4"/>
  <c r="J21" i="6"/>
  <c r="J19" i="4"/>
  <c r="J19" i="6"/>
  <c r="J18" i="4"/>
  <c r="J18" i="6"/>
  <c r="J17" i="4"/>
  <c r="J17" i="6"/>
  <c r="J15" i="4"/>
  <c r="J15" i="6"/>
  <c r="B13" i="5"/>
  <c r="B14" i="5" l="1"/>
  <c r="K149" i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48" i="1"/>
  <c r="B15" i="5" l="1"/>
  <c r="E30" i="1"/>
  <c r="N138" i="1" s="1"/>
  <c r="N139" i="1" s="1"/>
  <c r="N140" i="1" s="1"/>
  <c r="N141" i="1" s="1"/>
  <c r="B16" i="5" l="1"/>
  <c r="B17" i="5" l="1"/>
  <c r="U56" i="1"/>
  <c r="T56" i="1"/>
  <c r="S56" i="1"/>
  <c r="B18" i="5" l="1"/>
  <c r="U57" i="1"/>
  <c r="T112" i="1"/>
  <c r="Q22" i="1"/>
  <c r="O22" i="1"/>
  <c r="N22" i="1"/>
  <c r="L22" i="1"/>
  <c r="R110" i="1"/>
  <c r="N109" i="1"/>
  <c r="P19" i="1"/>
  <c r="P18" i="1"/>
  <c r="P17" i="1"/>
  <c r="P16" i="1"/>
  <c r="P15" i="1"/>
  <c r="P14" i="1"/>
  <c r="N81" i="1"/>
  <c r="N80" i="1"/>
  <c r="N79" i="1"/>
  <c r="N82" i="1" s="1"/>
  <c r="N71" i="1"/>
  <c r="N96" i="1" s="1"/>
  <c r="N70" i="1"/>
  <c r="O64" i="1"/>
  <c r="N64" i="1"/>
  <c r="M64" i="1"/>
  <c r="L64" i="1"/>
  <c r="N56" i="1"/>
  <c r="N57" i="1" s="1"/>
  <c r="M56" i="1"/>
  <c r="L56" i="1"/>
  <c r="X44" i="1"/>
  <c r="W44" i="1"/>
  <c r="V44" i="1"/>
  <c r="T44" i="1"/>
  <c r="S44" i="1"/>
  <c r="R44" i="1"/>
  <c r="Q44" i="1"/>
  <c r="P44" i="1"/>
  <c r="O44" i="1"/>
  <c r="E23" i="1"/>
  <c r="M44" i="1"/>
  <c r="L44" i="1"/>
  <c r="O63" i="1"/>
  <c r="M14" i="1"/>
  <c r="M15" i="1" s="1"/>
  <c r="M16" i="1" s="1"/>
  <c r="M17" i="1" s="1"/>
  <c r="M18" i="1" s="1"/>
  <c r="M19" i="1" s="1"/>
  <c r="U109" i="1" l="1"/>
  <c r="T109" i="1" s="1"/>
  <c r="L129" i="1" s="1"/>
  <c r="P109" i="1"/>
  <c r="R109" i="1" s="1"/>
  <c r="D6" i="4"/>
  <c r="D6" i="6"/>
  <c r="L119" i="1"/>
  <c r="N119" i="1" s="1"/>
  <c r="L118" i="1"/>
  <c r="N118" i="1" s="1"/>
  <c r="D7" i="5"/>
  <c r="T110" i="1"/>
  <c r="S13" i="1"/>
  <c r="S22" i="1" s="1"/>
  <c r="D36" i="1" s="1"/>
  <c r="E36" i="1" s="1"/>
  <c r="L131" i="1"/>
  <c r="L130" i="1"/>
  <c r="T111" i="1"/>
  <c r="V112" i="1"/>
  <c r="L132" i="1" s="1"/>
  <c r="N83" i="1"/>
  <c r="B19" i="5"/>
  <c r="P22" i="1"/>
  <c r="L120" i="1" s="1"/>
  <c r="N120" i="1" s="1"/>
  <c r="C19" i="1"/>
  <c r="M22" i="1"/>
  <c r="D47" i="1"/>
  <c r="M122" i="1"/>
  <c r="O120" i="1"/>
  <c r="O118" i="1"/>
  <c r="O117" i="1"/>
  <c r="O119" i="1"/>
  <c r="N65" i="1"/>
  <c r="N66" i="1" s="1"/>
  <c r="L117" i="1" l="1"/>
  <c r="N117" i="1" s="1"/>
  <c r="L122" i="1" s="1"/>
  <c r="C25" i="4"/>
  <c r="D26" i="4" s="1"/>
  <c r="C25" i="6"/>
  <c r="D26" i="6" s="1"/>
  <c r="L124" i="1"/>
  <c r="V109" i="1"/>
  <c r="V111" i="1"/>
  <c r="V110" i="1"/>
  <c r="O45" i="1"/>
  <c r="E19" i="6" s="1"/>
  <c r="D8" i="5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D51" i="1"/>
  <c r="B20" i="5"/>
  <c r="E4" i="5"/>
  <c r="N143" i="1"/>
  <c r="M23" i="1"/>
  <c r="L134" i="1"/>
  <c r="D60" i="1" s="1"/>
  <c r="J26" i="6" s="1"/>
  <c r="J26" i="4" l="1"/>
  <c r="C29" i="4"/>
  <c r="C29" i="6"/>
  <c r="M97" i="1"/>
  <c r="W112" i="1" s="1"/>
  <c r="X112" i="1" s="1"/>
  <c r="L141" i="1" s="1"/>
  <c r="E15" i="6"/>
  <c r="E19" i="4"/>
  <c r="B21" i="5"/>
  <c r="W109" i="1" l="1"/>
  <c r="X109" i="1" s="1"/>
  <c r="O139" i="1"/>
  <c r="O140" i="1"/>
  <c r="L140" i="1"/>
  <c r="M140" i="1" s="1"/>
  <c r="L139" i="1"/>
  <c r="M139" i="1" s="1"/>
  <c r="M141" i="1"/>
  <c r="O141" i="1"/>
  <c r="B22" i="5"/>
  <c r="O138" i="1" l="1"/>
  <c r="O143" i="1" s="1"/>
  <c r="L138" i="1"/>
  <c r="M138" i="1" s="1"/>
  <c r="B23" i="5"/>
  <c r="M143" i="1" l="1"/>
  <c r="L143" i="1"/>
  <c r="C37" i="1" s="1"/>
  <c r="B23" i="6" s="1"/>
  <c r="B24" i="5"/>
  <c r="E20" i="6" l="1"/>
  <c r="E21" i="6" s="1"/>
  <c r="E20" i="4"/>
  <c r="E21" i="4" s="1"/>
  <c r="B23" i="4"/>
  <c r="E22" i="4"/>
  <c r="E22" i="6"/>
  <c r="L149" i="1"/>
  <c r="R149" i="1" s="1"/>
  <c r="S149" i="1" s="1"/>
  <c r="T149" i="1" s="1"/>
  <c r="U149" i="1" s="1"/>
  <c r="F28" i="1"/>
  <c r="D48" i="1"/>
  <c r="K125" i="1" s="1"/>
  <c r="E15" i="4"/>
  <c r="B25" i="5"/>
  <c r="D6" i="5" l="1"/>
  <c r="C16" i="5" s="1"/>
  <c r="I16" i="5" s="1"/>
  <c r="K16" i="5" s="1"/>
  <c r="L16" i="5" s="1"/>
  <c r="D61" i="1"/>
  <c r="C26" i="6"/>
  <c r="L154" i="1"/>
  <c r="R154" i="1" s="1"/>
  <c r="S154" i="1" s="1"/>
  <c r="T154" i="1" s="1"/>
  <c r="U154" i="1" s="1"/>
  <c r="L168" i="1"/>
  <c r="R168" i="1" s="1"/>
  <c r="S168" i="1" s="1"/>
  <c r="T168" i="1" s="1"/>
  <c r="U168" i="1" s="1"/>
  <c r="L150" i="1"/>
  <c r="R150" i="1" s="1"/>
  <c r="S150" i="1" s="1"/>
  <c r="T150" i="1" s="1"/>
  <c r="U150" i="1" s="1"/>
  <c r="L158" i="1"/>
  <c r="R158" i="1" s="1"/>
  <c r="S158" i="1" s="1"/>
  <c r="T158" i="1" s="1"/>
  <c r="U158" i="1" s="1"/>
  <c r="L157" i="1"/>
  <c r="R157" i="1" s="1"/>
  <c r="S157" i="1" s="1"/>
  <c r="T157" i="1" s="1"/>
  <c r="U157" i="1" s="1"/>
  <c r="L159" i="1"/>
  <c r="M159" i="1" s="1"/>
  <c r="N159" i="1" s="1"/>
  <c r="P159" i="1" s="1"/>
  <c r="Q159" i="1" s="1"/>
  <c r="L166" i="1"/>
  <c r="R166" i="1" s="1"/>
  <c r="S166" i="1" s="1"/>
  <c r="T166" i="1" s="1"/>
  <c r="U166" i="1" s="1"/>
  <c r="L160" i="1"/>
  <c r="M160" i="1" s="1"/>
  <c r="N160" i="1" s="1"/>
  <c r="P160" i="1" s="1"/>
  <c r="Q160" i="1" s="1"/>
  <c r="L164" i="1"/>
  <c r="R164" i="1" s="1"/>
  <c r="S164" i="1" s="1"/>
  <c r="T164" i="1" s="1"/>
  <c r="U164" i="1" s="1"/>
  <c r="L151" i="1"/>
  <c r="R151" i="1" s="1"/>
  <c r="S151" i="1" s="1"/>
  <c r="T151" i="1" s="1"/>
  <c r="U151" i="1" s="1"/>
  <c r="L155" i="1"/>
  <c r="R155" i="1" s="1"/>
  <c r="S155" i="1" s="1"/>
  <c r="T155" i="1" s="1"/>
  <c r="U155" i="1" s="1"/>
  <c r="L161" i="1"/>
  <c r="M161" i="1" s="1"/>
  <c r="N161" i="1" s="1"/>
  <c r="P161" i="1" s="1"/>
  <c r="Q161" i="1" s="1"/>
  <c r="M149" i="1"/>
  <c r="N149" i="1" s="1"/>
  <c r="P149" i="1" s="1"/>
  <c r="Q149" i="1" s="1"/>
  <c r="L152" i="1"/>
  <c r="R152" i="1" s="1"/>
  <c r="S152" i="1" s="1"/>
  <c r="T152" i="1" s="1"/>
  <c r="U152" i="1" s="1"/>
  <c r="L162" i="1"/>
  <c r="R162" i="1" s="1"/>
  <c r="S162" i="1" s="1"/>
  <c r="T162" i="1" s="1"/>
  <c r="U162" i="1" s="1"/>
  <c r="L156" i="1"/>
  <c r="R156" i="1" s="1"/>
  <c r="S156" i="1" s="1"/>
  <c r="T156" i="1" s="1"/>
  <c r="U156" i="1" s="1"/>
  <c r="L165" i="1"/>
  <c r="R165" i="1" s="1"/>
  <c r="S165" i="1" s="1"/>
  <c r="T165" i="1" s="1"/>
  <c r="U165" i="1" s="1"/>
  <c r="L167" i="1"/>
  <c r="R167" i="1" s="1"/>
  <c r="S167" i="1" s="1"/>
  <c r="T167" i="1" s="1"/>
  <c r="U167" i="1" s="1"/>
  <c r="L163" i="1"/>
  <c r="M163" i="1" s="1"/>
  <c r="N163" i="1" s="1"/>
  <c r="P163" i="1" s="1"/>
  <c r="Q163" i="1" s="1"/>
  <c r="L153" i="1"/>
  <c r="R153" i="1" s="1"/>
  <c r="S153" i="1" s="1"/>
  <c r="T153" i="1" s="1"/>
  <c r="U153" i="1" s="1"/>
  <c r="C26" i="4"/>
  <c r="D4" i="5"/>
  <c r="B26" i="5"/>
  <c r="C25" i="5" l="1"/>
  <c r="I25" i="5" s="1"/>
  <c r="K25" i="5" s="1"/>
  <c r="L25" i="5" s="1"/>
  <c r="C12" i="5"/>
  <c r="I12" i="5" s="1"/>
  <c r="K12" i="5" s="1"/>
  <c r="L12" i="5" s="1"/>
  <c r="C14" i="5"/>
  <c r="I14" i="5" s="1"/>
  <c r="K14" i="5" s="1"/>
  <c r="L14" i="5" s="1"/>
  <c r="C13" i="5"/>
  <c r="I13" i="5" s="1"/>
  <c r="K13" i="5" s="1"/>
  <c r="L13" i="5" s="1"/>
  <c r="C24" i="5"/>
  <c r="I24" i="5" s="1"/>
  <c r="K24" i="5" s="1"/>
  <c r="L24" i="5" s="1"/>
  <c r="C17" i="5"/>
  <c r="I17" i="5" s="1"/>
  <c r="K17" i="5" s="1"/>
  <c r="L17" i="5" s="1"/>
  <c r="C15" i="5"/>
  <c r="I15" i="5" s="1"/>
  <c r="K15" i="5" s="1"/>
  <c r="L15" i="5" s="1"/>
  <c r="C22" i="5"/>
  <c r="I22" i="5" s="1"/>
  <c r="K22" i="5" s="1"/>
  <c r="L22" i="5" s="1"/>
  <c r="C18" i="5"/>
  <c r="I18" i="5" s="1"/>
  <c r="K18" i="5" s="1"/>
  <c r="L18" i="5" s="1"/>
  <c r="C21" i="5"/>
  <c r="I21" i="5" s="1"/>
  <c r="K21" i="5" s="1"/>
  <c r="L21" i="5" s="1"/>
  <c r="C19" i="5"/>
  <c r="I19" i="5" s="1"/>
  <c r="K19" i="5" s="1"/>
  <c r="L19" i="5" s="1"/>
  <c r="C20" i="5"/>
  <c r="I20" i="5" s="1"/>
  <c r="K20" i="5" s="1"/>
  <c r="L20" i="5" s="1"/>
  <c r="C23" i="5"/>
  <c r="I23" i="5" s="1"/>
  <c r="K23" i="5" s="1"/>
  <c r="L23" i="5" s="1"/>
  <c r="J27" i="4"/>
  <c r="J27" i="6"/>
  <c r="R163" i="1"/>
  <c r="S163" i="1" s="1"/>
  <c r="T163" i="1" s="1"/>
  <c r="U163" i="1" s="1"/>
  <c r="M150" i="1"/>
  <c r="N150" i="1" s="1"/>
  <c r="P150" i="1" s="1"/>
  <c r="Q150" i="1" s="1"/>
  <c r="M168" i="1"/>
  <c r="N168" i="1" s="1"/>
  <c r="P168" i="1" s="1"/>
  <c r="Q168" i="1" s="1"/>
  <c r="R159" i="1"/>
  <c r="S159" i="1" s="1"/>
  <c r="T159" i="1" s="1"/>
  <c r="U159" i="1" s="1"/>
  <c r="M158" i="1"/>
  <c r="N158" i="1" s="1"/>
  <c r="P158" i="1" s="1"/>
  <c r="Q158" i="1" s="1"/>
  <c r="R161" i="1"/>
  <c r="S161" i="1" s="1"/>
  <c r="T161" i="1" s="1"/>
  <c r="U161" i="1" s="1"/>
  <c r="M155" i="1"/>
  <c r="N155" i="1" s="1"/>
  <c r="P155" i="1" s="1"/>
  <c r="Q155" i="1" s="1"/>
  <c r="M151" i="1"/>
  <c r="N151" i="1" s="1"/>
  <c r="P151" i="1" s="1"/>
  <c r="Q151" i="1" s="1"/>
  <c r="M164" i="1"/>
  <c r="N164" i="1" s="1"/>
  <c r="P164" i="1" s="1"/>
  <c r="Q164" i="1" s="1"/>
  <c r="M16" i="5"/>
  <c r="M152" i="1"/>
  <c r="N152" i="1" s="1"/>
  <c r="P152" i="1" s="1"/>
  <c r="Q152" i="1" s="1"/>
  <c r="M153" i="1"/>
  <c r="N153" i="1" s="1"/>
  <c r="P153" i="1" s="1"/>
  <c r="Q153" i="1" s="1"/>
  <c r="M167" i="1"/>
  <c r="N167" i="1" s="1"/>
  <c r="P167" i="1" s="1"/>
  <c r="Q167" i="1" s="1"/>
  <c r="R160" i="1"/>
  <c r="S160" i="1" s="1"/>
  <c r="T160" i="1" s="1"/>
  <c r="U160" i="1" s="1"/>
  <c r="M154" i="1"/>
  <c r="N154" i="1" s="1"/>
  <c r="P154" i="1" s="1"/>
  <c r="Q154" i="1" s="1"/>
  <c r="M166" i="1"/>
  <c r="N166" i="1" s="1"/>
  <c r="P166" i="1" s="1"/>
  <c r="Q166" i="1" s="1"/>
  <c r="M162" i="1"/>
  <c r="N162" i="1" s="1"/>
  <c r="P162" i="1" s="1"/>
  <c r="Q162" i="1" s="1"/>
  <c r="M165" i="1"/>
  <c r="N165" i="1" s="1"/>
  <c r="P165" i="1" s="1"/>
  <c r="Q165" i="1" s="1"/>
  <c r="M156" i="1"/>
  <c r="N156" i="1" s="1"/>
  <c r="P156" i="1" s="1"/>
  <c r="Q156" i="1" s="1"/>
  <c r="M157" i="1"/>
  <c r="N157" i="1" s="1"/>
  <c r="P157" i="1" s="1"/>
  <c r="Q157" i="1" s="1"/>
  <c r="F5" i="5"/>
  <c r="D26" i="5" s="1"/>
  <c r="F26" i="5" s="1"/>
  <c r="B27" i="5"/>
  <c r="C26" i="5"/>
  <c r="I26" i="5" s="1"/>
  <c r="K26" i="5" s="1"/>
  <c r="M12" i="5" l="1"/>
  <c r="M17" i="5"/>
  <c r="M25" i="5"/>
  <c r="M23" i="5"/>
  <c r="M22" i="5"/>
  <c r="M15" i="5"/>
  <c r="M14" i="5"/>
  <c r="M13" i="5"/>
  <c r="M18" i="5"/>
  <c r="M24" i="5"/>
  <c r="M21" i="5"/>
  <c r="M19" i="5"/>
  <c r="M20" i="5"/>
  <c r="D18" i="5"/>
  <c r="F18" i="5" s="1"/>
  <c r="D20" i="5"/>
  <c r="F20" i="5" s="1"/>
  <c r="D13" i="5"/>
  <c r="F13" i="5" s="1"/>
  <c r="D21" i="5"/>
  <c r="F21" i="5" s="1"/>
  <c r="D22" i="5"/>
  <c r="F22" i="5" s="1"/>
  <c r="D16" i="5"/>
  <c r="F16" i="5" s="1"/>
  <c r="D17" i="5"/>
  <c r="F17" i="5" s="1"/>
  <c r="D12" i="5"/>
  <c r="F12" i="5" s="1"/>
  <c r="D19" i="5"/>
  <c r="F19" i="5" s="1"/>
  <c r="D15" i="5"/>
  <c r="F15" i="5" s="1"/>
  <c r="D23" i="5"/>
  <c r="F23" i="5" s="1"/>
  <c r="D14" i="5"/>
  <c r="F14" i="5" s="1"/>
  <c r="D24" i="5"/>
  <c r="F24" i="5" s="1"/>
  <c r="D25" i="5"/>
  <c r="F25" i="5" s="1"/>
  <c r="L26" i="5"/>
  <c r="M26" i="5"/>
  <c r="B28" i="5"/>
  <c r="C27" i="5"/>
  <c r="I27" i="5" s="1"/>
  <c r="K27" i="5" s="1"/>
  <c r="D27" i="5"/>
  <c r="F27" i="5" s="1"/>
  <c r="L27" i="5" l="1"/>
  <c r="M27" i="5"/>
  <c r="B29" i="5"/>
  <c r="C28" i="5"/>
  <c r="I28" i="5" s="1"/>
  <c r="K28" i="5" s="1"/>
  <c r="D28" i="5"/>
  <c r="F28" i="5" s="1"/>
  <c r="L28" i="5" l="1"/>
  <c r="M28" i="5"/>
  <c r="B30" i="5"/>
  <c r="C29" i="5"/>
  <c r="I29" i="5" s="1"/>
  <c r="K29" i="5" s="1"/>
  <c r="D29" i="5"/>
  <c r="F29" i="5" s="1"/>
  <c r="L29" i="5" l="1"/>
  <c r="M29" i="5"/>
  <c r="B31" i="5"/>
  <c r="C30" i="5"/>
  <c r="I30" i="5" s="1"/>
  <c r="K30" i="5" s="1"/>
  <c r="D30" i="5"/>
  <c r="F30" i="5" s="1"/>
  <c r="L30" i="5" l="1"/>
  <c r="M30" i="5"/>
  <c r="C31" i="5"/>
  <c r="I31" i="5" s="1"/>
  <c r="D31" i="5"/>
  <c r="F31" i="5" s="1"/>
  <c r="K31" i="5" l="1"/>
  <c r="L31" i="5" s="1"/>
  <c r="M31" i="5"/>
</calcChain>
</file>

<file path=xl/sharedStrings.xml><?xml version="1.0" encoding="utf-8"?>
<sst xmlns="http://schemas.openxmlformats.org/spreadsheetml/2006/main" count="482" uniqueCount="340">
  <si>
    <t>Primärelement</t>
  </si>
  <si>
    <t>P10</t>
  </si>
  <si>
    <t>V40(20mm)</t>
  </si>
  <si>
    <t>V25(15mm)</t>
  </si>
  <si>
    <t>V20(10mm)</t>
  </si>
  <si>
    <t>V20(8mm)</t>
  </si>
  <si>
    <t>V20(6mm)</t>
  </si>
  <si>
    <t>V20(4mm)</t>
  </si>
  <si>
    <t>Air</t>
  </si>
  <si>
    <t>other gas</t>
  </si>
  <si>
    <t>Ammoniak</t>
  </si>
  <si>
    <t>Argon</t>
  </si>
  <si>
    <t>Helium</t>
  </si>
  <si>
    <t>Neon</t>
  </si>
  <si>
    <t>Medium</t>
  </si>
  <si>
    <t>ID</t>
  </si>
  <si>
    <t>id</t>
  </si>
  <si>
    <t>Nr</t>
  </si>
  <si>
    <t>-194,35</t>
  </si>
  <si>
    <t>NH3</t>
  </si>
  <si>
    <t>Ar</t>
  </si>
  <si>
    <t>C4H10</t>
  </si>
  <si>
    <t>He</t>
  </si>
  <si>
    <t>CO2</t>
  </si>
  <si>
    <t>CO</t>
  </si>
  <si>
    <t>CH4</t>
  </si>
  <si>
    <t>Ne</t>
  </si>
  <si>
    <t>C3H8</t>
  </si>
  <si>
    <t>O2</t>
  </si>
  <si>
    <t>N2</t>
  </si>
  <si>
    <t>H2</t>
  </si>
  <si>
    <t>Formel</t>
  </si>
  <si>
    <t>Molare Masse</t>
  </si>
  <si>
    <t>Schmelzpunkt</t>
  </si>
  <si>
    <t>Siedepunkt</t>
  </si>
  <si>
    <t>Kritische Temperatur</t>
  </si>
  <si>
    <t>Protoscher drtuck</t>
  </si>
  <si>
    <t>Azentrischer Faktor</t>
  </si>
  <si>
    <t>Normdichte</t>
  </si>
  <si>
    <t>Visk Parameter A</t>
  </si>
  <si>
    <t>Visk Parameter B</t>
  </si>
  <si>
    <t>Isentropencoeffizient</t>
  </si>
  <si>
    <t>g/mol</t>
  </si>
  <si>
    <t>°C</t>
  </si>
  <si>
    <t>bar</t>
  </si>
  <si>
    <t>[-]</t>
  </si>
  <si>
    <t>kg/Nm³</t>
  </si>
  <si>
    <t>[mm]</t>
  </si>
  <si>
    <t>[kg/Nm³]</t>
  </si>
  <si>
    <t>0°C, 1013,25 hPa</t>
  </si>
  <si>
    <t>Druck</t>
  </si>
  <si>
    <t>bar abs</t>
  </si>
  <si>
    <t>[mbar abs]</t>
  </si>
  <si>
    <t>[bar abs]</t>
  </si>
  <si>
    <t>[kPa]</t>
  </si>
  <si>
    <t>[hPa]</t>
  </si>
  <si>
    <t>[PSI]</t>
  </si>
  <si>
    <t>Faktor zu Pa</t>
  </si>
  <si>
    <t>[Torr]</t>
  </si>
  <si>
    <t>Temperatur</t>
  </si>
  <si>
    <t>[°C]</t>
  </si>
  <si>
    <t>[K]</t>
  </si>
  <si>
    <t>[°F]</t>
  </si>
  <si>
    <t>Aktuelle Auswahl</t>
  </si>
  <si>
    <t>[kg/s]</t>
  </si>
  <si>
    <t>[kg/h]</t>
  </si>
  <si>
    <t>[kg/min]</t>
  </si>
  <si>
    <t>C</t>
  </si>
  <si>
    <t>Zeta</t>
  </si>
  <si>
    <t>Beta</t>
  </si>
  <si>
    <t>KEPS</t>
  </si>
  <si>
    <t>dpLoss Faktor</t>
  </si>
  <si>
    <t>Berechnungen</t>
  </si>
  <si>
    <t>Durchfluss</t>
  </si>
  <si>
    <t>Designdruck in Pa</t>
  </si>
  <si>
    <t>Pa</t>
  </si>
  <si>
    <t>Designtemperatur in K</t>
  </si>
  <si>
    <t>Designtemperatur in °C</t>
  </si>
  <si>
    <t>K</t>
  </si>
  <si>
    <t>Dichte bei Designpunkt</t>
  </si>
  <si>
    <t>Dichte bei Auslgungspunkt</t>
  </si>
  <si>
    <t>kg/m³</t>
  </si>
  <si>
    <t>Auslegungspunkt DFC2 Elektronik</t>
  </si>
  <si>
    <t>dp</t>
  </si>
  <si>
    <t>pabs</t>
  </si>
  <si>
    <t>T</t>
  </si>
  <si>
    <t>Berechnungen Sonden</t>
  </si>
  <si>
    <t>Blockage</t>
  </si>
  <si>
    <t>Kwert</t>
  </si>
  <si>
    <t>Epsilon Auslegung</t>
  </si>
  <si>
    <t>Andere Sonden</t>
  </si>
  <si>
    <t>Andere Venturi/Blende</t>
  </si>
  <si>
    <t>V20-V40</t>
  </si>
  <si>
    <t>kg/s</t>
  </si>
  <si>
    <t>Andere Sonde</t>
  </si>
  <si>
    <t>Andere Venturi</t>
  </si>
  <si>
    <t>Differenzdruck</t>
  </si>
  <si>
    <t>Designdp in Pa</t>
  </si>
  <si>
    <t>Usereinheit</t>
  </si>
  <si>
    <t>Berechnung FlowSpan</t>
  </si>
  <si>
    <t>FlowSpan</t>
  </si>
  <si>
    <t>Berechnung K Analog</t>
  </si>
  <si>
    <t>K Analog</t>
  </si>
  <si>
    <t>Berechnung KEPS</t>
  </si>
  <si>
    <t>Typ</t>
  </si>
  <si>
    <t>dp Design</t>
  </si>
  <si>
    <t>Berechnung dp Design</t>
  </si>
  <si>
    <t>dp[Pa]</t>
  </si>
  <si>
    <t>dp[Usereinheit]</t>
  </si>
  <si>
    <t>[mbar]</t>
  </si>
  <si>
    <t>[bar]</t>
  </si>
  <si>
    <t>dp design (Epsiolon 1) Pa</t>
  </si>
  <si>
    <t>Epsilon Design</t>
  </si>
  <si>
    <t xml:space="preserve">Expansionszahl </t>
  </si>
  <si>
    <t>Berechnung Unsicherheit</t>
  </si>
  <si>
    <t>dp [Pa]</t>
  </si>
  <si>
    <t>Fehler durch dp</t>
  </si>
  <si>
    <t>dp Fehler Nach Nullpunktabgleich</t>
  </si>
  <si>
    <t>Fehler durch Dichte und Primärelement mit Klaib</t>
  </si>
  <si>
    <t>dp Fehler ohne Kalibroierung</t>
  </si>
  <si>
    <t>ID[mm]</t>
  </si>
  <si>
    <t>Unsicherheit abs mit Kalbirierung</t>
  </si>
  <si>
    <t>Unsicherheit Abs ohne Kalibrierung</t>
  </si>
  <si>
    <t>Unicherheit r.M. mit Kalibrierung</t>
  </si>
  <si>
    <t>Unsicherheit d.M. ohne Kalibrierung</t>
  </si>
  <si>
    <t>Design Pressure</t>
  </si>
  <si>
    <t>Design Temperature</t>
  </si>
  <si>
    <t>Design Flow</t>
  </si>
  <si>
    <t>Expansion Number</t>
  </si>
  <si>
    <t>ploss[%]DF12</t>
  </si>
  <si>
    <t>Ploss DFC</t>
  </si>
  <si>
    <t>dploss</t>
  </si>
  <si>
    <t>pressure Loss</t>
  </si>
  <si>
    <t>Pipe Inside Diameter</t>
  </si>
  <si>
    <t>Neck Diameter</t>
  </si>
  <si>
    <t>Flow Coefficient C</t>
  </si>
  <si>
    <t>Design Expansionnumber</t>
  </si>
  <si>
    <t>Design Differential Pressure</t>
  </si>
  <si>
    <t>ImprooveIT Factor</t>
  </si>
  <si>
    <t>Primary Element</t>
  </si>
  <si>
    <t>Process Data</t>
  </si>
  <si>
    <t>Results</t>
  </si>
  <si>
    <t>Meter Settings</t>
  </si>
  <si>
    <r>
      <t xml:space="preserve">Probe Resistance Zeta </t>
    </r>
    <r>
      <rPr>
        <sz val="11"/>
        <color theme="1"/>
        <rFont val="Symbol"/>
        <family val="1"/>
        <charset val="2"/>
      </rPr>
      <t>z</t>
    </r>
  </si>
  <si>
    <t>Basic Type</t>
  </si>
  <si>
    <t>Display</t>
  </si>
  <si>
    <t>Accuracy</t>
  </si>
  <si>
    <t>Min recommended diameter is 25mm, please use Venturi</t>
  </si>
  <si>
    <t>Gas type</t>
  </si>
  <si>
    <t>ImprooveIT</t>
  </si>
  <si>
    <t>Damping</t>
  </si>
  <si>
    <t>Calculated Results</t>
  </si>
  <si>
    <t>dp at Operational Flow</t>
  </si>
  <si>
    <t>Display Settings (Option D1)</t>
  </si>
  <si>
    <t xml:space="preserve">* Please proceed zero offset after installation and in an adequate service intaervall </t>
  </si>
  <si>
    <t>© systec  Controls Mess- und Regeltechnik GmbH, Lindberghstraße 4, 82178 Puchheim, Germany</t>
  </si>
  <si>
    <t>www.systec-controls.de - Fon: +49-(0)89-809060 - Fax: +49-(0)89-80906-200 - Email: info@systec-controls.de</t>
  </si>
  <si>
    <t>DFC2 Protocoll</t>
  </si>
  <si>
    <t xml:space="preserve">DFC2 </t>
  </si>
  <si>
    <t>Meter Type DFC2-</t>
  </si>
  <si>
    <t>Comment</t>
  </si>
  <si>
    <t>pitot tube</t>
  </si>
  <si>
    <t>venturi/orifice</t>
  </si>
  <si>
    <t>P10 insertion probe type for pipes &gt;25mm</t>
  </si>
  <si>
    <t>R 1 1/2" male venturi type ID 35x20x35mm</t>
  </si>
  <si>
    <t>R 1" male venturi type ID 25x15x25mm</t>
  </si>
  <si>
    <t>R 3/4" male venturi type ID 15x8x15mm</t>
  </si>
  <si>
    <t>R 3/4" male venturi type ID 15x6x15mm</t>
  </si>
  <si>
    <t>R 3/4" male venturi type ID 15x10x15mm</t>
  </si>
  <si>
    <t>R 3/4" male venturi type ID 15x4x15mm</t>
  </si>
  <si>
    <t>other venturi/orifice, design from manufacturer needed</t>
  </si>
  <si>
    <t>other pitot tube, design from manufacturer needed</t>
  </si>
  <si>
    <t>Meter options</t>
  </si>
  <si>
    <t>IO</t>
  </si>
  <si>
    <t>CAN</t>
  </si>
  <si>
    <t>MOD</t>
  </si>
  <si>
    <t>IO-MOD</t>
  </si>
  <si>
    <t>IO-CAN</t>
  </si>
  <si>
    <t>D0</t>
  </si>
  <si>
    <t>D1</t>
  </si>
  <si>
    <t>Outputs 4..20mA and 0..10VDC (4 pin M12 Plug)</t>
  </si>
  <si>
    <t>Can-Bus Version (VS, GND, CANHI, CANLO) (4 pin M12 Plug)</t>
  </si>
  <si>
    <t>MOD-Bus Version (VS, GND, A, B) (4 pin M12 Plug)</t>
  </si>
  <si>
    <t>Outputs 4..20mA,  0..10VDC, Pulses, MOD-Bus (8 pin M12 Plug)</t>
  </si>
  <si>
    <t>Outputs 4..20mA,  0..10VDC, Pulses, CAN-Bus (8 pin M12 Plug)</t>
  </si>
  <si>
    <t>no Display (settings by systec) o.R.</t>
  </si>
  <si>
    <t>integrated display / keypad</t>
  </si>
  <si>
    <t>DS</t>
  </si>
  <si>
    <t>DH</t>
  </si>
  <si>
    <t>RSXX</t>
  </si>
  <si>
    <t>M12-4</t>
  </si>
  <si>
    <t>M12-8</t>
  </si>
  <si>
    <t>Hot Tap Accessorie for pipe dimesnions 45..335mm</t>
  </si>
  <si>
    <t>M12 cable 1,5m 4pin</t>
  </si>
  <si>
    <t>M12 cable 1,5m 8pin</t>
  </si>
  <si>
    <t>I/O Variant</t>
  </si>
  <si>
    <t>High Precision 1% o.S. 1:10 incl 5 point calibration</t>
  </si>
  <si>
    <t xml:space="preserve">Standard 3% o.S. 1:5  </t>
  </si>
  <si>
    <t>Accessories</t>
  </si>
  <si>
    <t>none</t>
  </si>
  <si>
    <t>-</t>
  </si>
  <si>
    <t>I/O_Variant</t>
  </si>
  <si>
    <t>iso-Butane</t>
  </si>
  <si>
    <t>Carbon Dioxide</t>
  </si>
  <si>
    <t>Carbon Monoxide</t>
  </si>
  <si>
    <t>Methane</t>
  </si>
  <si>
    <t>Propane</t>
  </si>
  <si>
    <t>Oxygene</t>
  </si>
  <si>
    <t>Nitrogene</t>
  </si>
  <si>
    <t>Hydrogene</t>
  </si>
  <si>
    <t>Process Pressure</t>
  </si>
  <si>
    <t>Process Temperature</t>
  </si>
  <si>
    <t>Process max flow</t>
  </si>
  <si>
    <t>Flow Unit / Time Basis</t>
  </si>
  <si>
    <t>Flowspan</t>
  </si>
  <si>
    <t>Temp. Unit</t>
  </si>
  <si>
    <t>Press. Unit</t>
  </si>
  <si>
    <t>T. type</t>
  </si>
  <si>
    <t>dp press. Unit</t>
  </si>
  <si>
    <t>Modbus Brate</t>
  </si>
  <si>
    <t>select [4800..38400]</t>
  </si>
  <si>
    <t>Pulse Length</t>
  </si>
  <si>
    <t>Pulse Count</t>
  </si>
  <si>
    <t>[t/s]</t>
  </si>
  <si>
    <t>[t/min]</t>
  </si>
  <si>
    <t>[t/h]</t>
  </si>
  <si>
    <t>[g/s]</t>
  </si>
  <si>
    <t>[g/min]</t>
  </si>
  <si>
    <t>[g/h]</t>
  </si>
  <si>
    <t>Messbereich max</t>
  </si>
  <si>
    <t>Messbereich kunde</t>
  </si>
  <si>
    <t>Uncertaincy o.V. Std</t>
  </si>
  <si>
    <t>Uvertainca o.V. HP</t>
  </si>
  <si>
    <t>Uncertaincy o.S. Std</t>
  </si>
  <si>
    <t>dp [mbar]</t>
  </si>
  <si>
    <t>dp Kunde</t>
  </si>
  <si>
    <t>Typecode</t>
  </si>
  <si>
    <t>select [0..20%] of Flowspan</t>
  </si>
  <si>
    <t>Unsicherhiet dp d.M.</t>
  </si>
  <si>
    <t>p Design</t>
  </si>
  <si>
    <t>[bara]</t>
  </si>
  <si>
    <t>T Design</t>
  </si>
  <si>
    <t>Unsicherheit Dichte</t>
  </si>
  <si>
    <t>dp Nullpunkt</t>
  </si>
  <si>
    <t>select [Flow/dp/p/T]</t>
  </si>
  <si>
    <t>select[2, 10, 100] mS</t>
  </si>
  <si>
    <t>select [0..9] p/unit</t>
  </si>
  <si>
    <t>select [0..20%] o.S.</t>
  </si>
  <si>
    <t>select [0..99] sek</t>
  </si>
  <si>
    <t>Voltage Out</t>
  </si>
  <si>
    <t>Current Out</t>
  </si>
  <si>
    <t>0-Suppression</t>
  </si>
  <si>
    <t>Uncertaincy absolute</t>
  </si>
  <si>
    <t>Design Density</t>
  </si>
  <si>
    <t>Maximum Flow [MF]</t>
  </si>
  <si>
    <t>Design Flow [DF]</t>
  </si>
  <si>
    <t>Uncertaincy o.S. [DF]</t>
  </si>
  <si>
    <t>Uncertaincy o.S. [MF]</t>
  </si>
  <si>
    <t>Uncertaincy (typical)</t>
  </si>
  <si>
    <t>Pin</t>
  </si>
  <si>
    <t>PinBelegung</t>
  </si>
  <si>
    <t>(brown) GND</t>
  </si>
  <si>
    <t>(white) 4..20mA</t>
  </si>
  <si>
    <t>(black) 0..10VDC</t>
  </si>
  <si>
    <t>n.a.</t>
  </si>
  <si>
    <t>(white) CAN hi</t>
  </si>
  <si>
    <t>(blue) Supply</t>
  </si>
  <si>
    <t>(black) CAN low</t>
  </si>
  <si>
    <t>(white) Modbus A</t>
  </si>
  <si>
    <t>Modbus B</t>
  </si>
  <si>
    <t>(white) GND</t>
  </si>
  <si>
    <t>(brown) 4..20mA</t>
  </si>
  <si>
    <t>(green) Supply</t>
  </si>
  <si>
    <t>(yellow) 0..10VDC</t>
  </si>
  <si>
    <t>(pink) Pulse -</t>
  </si>
  <si>
    <t>(grey) Pulse +</t>
  </si>
  <si>
    <t>(blue) Modbus A</t>
  </si>
  <si>
    <t>(red) Modbus B</t>
  </si>
  <si>
    <t>(blue) CAN hi</t>
  </si>
  <si>
    <t>(red) CAN low</t>
  </si>
  <si>
    <t>Project Details</t>
  </si>
  <si>
    <t>Customer line 1</t>
  </si>
  <si>
    <t>Customer line 2</t>
  </si>
  <si>
    <t>Customer line 3</t>
  </si>
  <si>
    <t>Serial Number</t>
  </si>
  <si>
    <t>Tag Number</t>
  </si>
  <si>
    <t>Comments</t>
  </si>
  <si>
    <t>Inputs</t>
  </si>
  <si>
    <t>Norm Density</t>
  </si>
  <si>
    <t>Epsilon Expansionnumber</t>
  </si>
  <si>
    <t>(Epsilon =1, gem HA)</t>
  </si>
  <si>
    <t>FLOWMAX [Digitalwert]</t>
  </si>
  <si>
    <t>ConvFactor</t>
  </si>
  <si>
    <t>Vol(2) or Mass (1)</t>
  </si>
  <si>
    <t>Massflow (1)</t>
  </si>
  <si>
    <t>VolFlow (2)</t>
  </si>
  <si>
    <t xml:space="preserve">[kg/s] </t>
  </si>
  <si>
    <t>[Nm3/s]@0°C/1013,25mbar</t>
  </si>
  <si>
    <t>[Nm3/min]@0°C/1013,25mbar</t>
  </si>
  <si>
    <t>[Nm3/h]@0°C/1013,25mbar</t>
  </si>
  <si>
    <t>[Nl/s]@0°C/1013,25mbar</t>
  </si>
  <si>
    <t>[Nl/min]@0°C/1013,25mbar</t>
  </si>
  <si>
    <t>[Nl/h]@0°C/1013,25mbar</t>
  </si>
  <si>
    <t>[cft/s]@process p&amp;T</t>
  </si>
  <si>
    <t>[cft/min]@process p&amp;T</t>
  </si>
  <si>
    <t>[cft/h]@process p&amp;T</t>
  </si>
  <si>
    <t>[l/s]@process p&amp;T</t>
  </si>
  <si>
    <t>[l/min]@process p&amp;T</t>
  </si>
  <si>
    <t>[l/h]@process p&amp;T</t>
  </si>
  <si>
    <t>[m3/s]@process p&amp;T</t>
  </si>
  <si>
    <t>[m3/min]@process p&amp;T</t>
  </si>
  <si>
    <t>[m3/h]@process p&amp;T</t>
  </si>
  <si>
    <t>K,Value</t>
  </si>
  <si>
    <t>DFC2 Protokoll</t>
  </si>
  <si>
    <t>Grundtyp</t>
  </si>
  <si>
    <t>Ausgänge</t>
  </si>
  <si>
    <t>Genauigkeit</t>
  </si>
  <si>
    <t>Zubehör</t>
  </si>
  <si>
    <t>Gastyp</t>
  </si>
  <si>
    <t>Prozess Druck</t>
  </si>
  <si>
    <t>Prozess Temperatur</t>
  </si>
  <si>
    <t>Prozess max Durchfluss</t>
  </si>
  <si>
    <t>Ergebnisse Auslegung</t>
  </si>
  <si>
    <t>Max möglicher Durchfluss [MF]</t>
  </si>
  <si>
    <t>Design Durchfluss [DF]</t>
  </si>
  <si>
    <t>Design Druck</t>
  </si>
  <si>
    <t>Design Temperatur</t>
  </si>
  <si>
    <t>Design Dichte</t>
  </si>
  <si>
    <t>dp am Designpunkt</t>
  </si>
  <si>
    <t>Epsilon am Designpunkt</t>
  </si>
  <si>
    <t>Geräteeinstellungen (Option D1)</t>
  </si>
  <si>
    <t>Unsicherheiten (typisch)</t>
  </si>
  <si>
    <t xml:space="preserve">* Nach Installation und im geeigneten Wartungsintervall ist ein Nullpunktabgleich durchzuführen </t>
  </si>
  <si>
    <t>Druckverlust am Auslgungspunkt</t>
  </si>
  <si>
    <t>presser loss at maxflow</t>
  </si>
  <si>
    <t>V3.07 29.07.2024</t>
  </si>
  <si>
    <t>Pipe ID</t>
  </si>
  <si>
    <t>deltaflowC2 Selector 3.07</t>
  </si>
  <si>
    <t>Test</t>
  </si>
  <si>
    <t>thyssenkrupp Steel Europe AG
22363-02
DFC224260033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</si>
</sst>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8.8000000000000007"/>
      <color rgb="FF000000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4" fillId="0" borderId="0" xfId="0" applyFont="1" applyProtection="1">
      <protection hidden="1"/>
    </xf>
    <xf numFmtId="0" fontId="4" fillId="2" borderId="0" xfId="0" applyFont="1" applyFill="1" applyProtection="1">
      <protection hidden="1"/>
    </xf>
    <xf numFmtId="0" fontId="5" fillId="0" borderId="0" xfId="0" applyFont="1"/>
    <xf numFmtId="0" fontId="1" fillId="0" borderId="0" xfId="2"/>
    <xf numFmtId="0" fontId="1" fillId="3" borderId="0" xfId="2" applyFill="1"/>
    <xf numFmtId="0" fontId="3" fillId="0" borderId="0" xfId="0" applyFont="1"/>
    <xf numFmtId="0" fontId="6" fillId="0" borderId="0" xfId="0" applyFont="1"/>
    <xf numFmtId="164" fontId="0" fillId="0" borderId="0" xfId="1" applyNumberFormat="1" applyFont="1"/>
    <xf numFmtId="10" fontId="0" fillId="0" borderId="0" xfId="1" applyNumberFormat="1" applyFont="1"/>
    <xf numFmtId="10" fontId="0" fillId="0" borderId="0" xfId="0" applyNumberFormat="1"/>
    <xf numFmtId="0" fontId="2" fillId="0" borderId="0" xfId="0" applyFont="1"/>
    <xf numFmtId="0" fontId="0" fillId="0" borderId="2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11" fillId="4" borderId="3" xfId="0" applyFont="1" applyFill="1" applyBorder="1" applyProtection="1">
      <protection locked="0"/>
    </xf>
    <xf numFmtId="0" fontId="8" fillId="3" borderId="4" xfId="0" applyFont="1" applyFill="1" applyBorder="1" applyProtection="1">
      <protection locked="0"/>
    </xf>
    <xf numFmtId="0" fontId="0" fillId="0" borderId="0" xfId="0" applyProtection="1">
      <protection locked="0"/>
    </xf>
    <xf numFmtId="9" fontId="0" fillId="0" borderId="0" xfId="1" applyFont="1" applyBorder="1"/>
    <xf numFmtId="0" fontId="0" fillId="0" borderId="6" xfId="0" applyBorder="1" applyProtection="1">
      <protection locked="0"/>
    </xf>
    <xf numFmtId="0" fontId="10" fillId="0" borderId="0" xfId="0" applyFont="1"/>
    <xf numFmtId="0" fontId="13" fillId="0" borderId="4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8" xfId="0" applyNumberFormat="1" applyBorder="1"/>
    <xf numFmtId="0" fontId="0" fillId="0" borderId="0" xfId="0" applyAlignment="1">
      <alignment horizontal="right"/>
    </xf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3" borderId="0" xfId="0" applyFill="1" applyProtection="1">
      <protection locked="0"/>
    </xf>
    <xf numFmtId="0" fontId="0" fillId="3" borderId="8" xfId="0" applyFill="1" applyBorder="1" applyProtection="1">
      <protection locked="0"/>
    </xf>
    <xf numFmtId="0" fontId="3" fillId="0" borderId="2" xfId="0" applyFont="1" applyBorder="1"/>
    <xf numFmtId="0" fontId="0" fillId="3" borderId="3" xfId="0" applyFill="1" applyBorder="1" applyAlignment="1" applyProtection="1">
      <alignment horizontal="right"/>
      <protection locked="0"/>
    </xf>
    <xf numFmtId="0" fontId="17" fillId="0" borderId="0" xfId="0" applyFont="1"/>
    <xf numFmtId="0" fontId="0" fillId="0" borderId="3" xfId="0" applyBorder="1"/>
    <xf numFmtId="0" fontId="18" fillId="0" borderId="0" xfId="0" applyFont="1" applyProtection="1">
      <protection hidden="1"/>
    </xf>
    <xf numFmtId="11" fontId="0" fillId="0" borderId="0" xfId="0" applyNumberFormat="1"/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textRotation="90"/>
      <protection hidden="1"/>
    </xf>
    <xf numFmtId="0" fontId="10" fillId="0" borderId="2" xfId="0" applyFont="1" applyBorder="1" applyAlignment="1" applyProtection="1">
      <alignment textRotation="90"/>
      <protection hidden="1"/>
    </xf>
    <xf numFmtId="0" fontId="10" fillId="0" borderId="3" xfId="0" applyFont="1" applyBorder="1" applyAlignment="1" applyProtection="1">
      <alignment textRotation="90"/>
      <protection hidden="1"/>
    </xf>
    <xf numFmtId="0" fontId="10" fillId="0" borderId="5" xfId="0" applyFont="1" applyBorder="1" applyProtection="1">
      <protection hidden="1"/>
    </xf>
    <xf numFmtId="0" fontId="17" fillId="0" borderId="0" xfId="0" applyFont="1" applyProtection="1">
      <protection hidden="1"/>
    </xf>
    <xf numFmtId="0" fontId="10" fillId="0" borderId="6" xfId="0" applyFont="1" applyBorder="1" applyProtection="1">
      <protection hidden="1"/>
    </xf>
    <xf numFmtId="0" fontId="10" fillId="0" borderId="0" xfId="0" applyFont="1" applyAlignment="1" applyProtection="1">
      <alignment wrapText="1"/>
      <protection hidden="1"/>
    </xf>
    <xf numFmtId="0" fontId="11" fillId="0" borderId="5" xfId="0" applyFont="1" applyBorder="1" applyProtection="1">
      <protection hidden="1"/>
    </xf>
    <xf numFmtId="0" fontId="11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9" xfId="0" applyFont="1" applyBorder="1" applyProtection="1">
      <protection hidden="1"/>
    </xf>
    <xf numFmtId="0" fontId="9" fillId="0" borderId="13" xfId="0" applyFont="1" applyBorder="1" applyAlignment="1" applyProtection="1">
      <alignment horizontal="right"/>
      <protection hidden="1"/>
    </xf>
    <xf numFmtId="0" fontId="9" fillId="0" borderId="13" xfId="0" applyFont="1" applyBorder="1" applyProtection="1">
      <protection hidden="1"/>
    </xf>
    <xf numFmtId="0" fontId="10" fillId="0" borderId="0" xfId="0" applyFont="1" applyAlignment="1" applyProtection="1">
      <alignment horizontal="left"/>
      <protection hidden="1"/>
    </xf>
    <xf numFmtId="2" fontId="10" fillId="0" borderId="0" xfId="0" applyNumberFormat="1" applyFont="1" applyAlignment="1" applyProtection="1">
      <alignment horizontal="right"/>
      <protection hidden="1"/>
    </xf>
    <xf numFmtId="1" fontId="10" fillId="0" borderId="13" xfId="0" applyNumberFormat="1" applyFont="1" applyBorder="1" applyAlignment="1" applyProtection="1">
      <alignment horizontal="right"/>
      <protection hidden="1"/>
    </xf>
    <xf numFmtId="2" fontId="10" fillId="0" borderId="13" xfId="0" applyNumberFormat="1" applyFont="1" applyBorder="1" applyAlignment="1" applyProtection="1">
      <alignment horizontal="left"/>
      <protection hidden="1"/>
    </xf>
    <xf numFmtId="165" fontId="10" fillId="0" borderId="0" xfId="0" applyNumberFormat="1" applyFont="1" applyAlignment="1" applyProtection="1">
      <alignment horizontal="right"/>
      <protection hidden="1"/>
    </xf>
    <xf numFmtId="2" fontId="15" fillId="0" borderId="0" xfId="0" applyNumberFormat="1" applyFont="1" applyAlignment="1" applyProtection="1">
      <alignment horizontal="left"/>
      <protection hidden="1"/>
    </xf>
    <xf numFmtId="1" fontId="10" fillId="0" borderId="0" xfId="0" applyNumberFormat="1" applyFont="1" applyAlignment="1" applyProtection="1">
      <alignment horizontal="right"/>
      <protection hidden="1"/>
    </xf>
    <xf numFmtId="0" fontId="10" fillId="0" borderId="2" xfId="0" applyFont="1" applyBorder="1" applyProtection="1">
      <protection hidden="1"/>
    </xf>
    <xf numFmtId="0" fontId="10" fillId="0" borderId="3" xfId="0" applyFont="1" applyBorder="1" applyAlignment="1" applyProtection="1">
      <alignment horizontal="right"/>
      <protection hidden="1"/>
    </xf>
    <xf numFmtId="0" fontId="10" fillId="0" borderId="3" xfId="0" applyFont="1" applyBorder="1" applyProtection="1">
      <protection hidden="1"/>
    </xf>
    <xf numFmtId="1" fontId="10" fillId="0" borderId="2" xfId="0" applyNumberFormat="1" applyFont="1" applyBorder="1" applyProtection="1">
      <protection hidden="1"/>
    </xf>
    <xf numFmtId="1" fontId="10" fillId="0" borderId="4" xfId="0" applyNumberFormat="1" applyFont="1" applyBorder="1" applyProtection="1">
      <protection hidden="1"/>
    </xf>
    <xf numFmtId="1" fontId="10" fillId="0" borderId="5" xfId="0" applyNumberFormat="1" applyFont="1" applyBorder="1" applyProtection="1">
      <protection hidden="1"/>
    </xf>
    <xf numFmtId="1" fontId="10" fillId="0" borderId="6" xfId="0" applyNumberFormat="1" applyFont="1" applyBorder="1" applyProtection="1">
      <protection hidden="1"/>
    </xf>
    <xf numFmtId="0" fontId="16" fillId="0" borderId="6" xfId="0" applyFont="1" applyBorder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Alignment="1" applyProtection="1">
      <alignment horizontal="right"/>
      <protection hidden="1"/>
    </xf>
    <xf numFmtId="0" fontId="16" fillId="0" borderId="9" xfId="0" applyFont="1" applyBorder="1" applyProtection="1">
      <protection hidden="1"/>
    </xf>
    <xf numFmtId="0" fontId="16" fillId="0" borderId="0" xfId="0" applyFont="1" applyProtection="1">
      <protection hidden="1"/>
    </xf>
    <xf numFmtId="0" fontId="17" fillId="0" borderId="0" xfId="0" applyFont="1" applyAlignment="1" applyProtection="1">
      <alignment horizontal="left"/>
      <protection hidden="1"/>
    </xf>
    <xf numFmtId="0" fontId="10" fillId="0" borderId="1" xfId="0" applyFont="1" applyBorder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0" fillId="3" borderId="3" xfId="0" applyFont="1" applyFill="1" applyBorder="1" applyProtection="1">
      <protection locked="0"/>
    </xf>
    <xf numFmtId="0" fontId="10" fillId="3" borderId="0" xfId="0" applyFont="1" applyFill="1" applyProtection="1">
      <protection locked="0"/>
    </xf>
    <xf numFmtId="0" fontId="10" fillId="3" borderId="8" xfId="0" applyFont="1" applyFill="1" applyBorder="1" applyProtection="1">
      <protection locked="0"/>
    </xf>
    <xf numFmtId="0" fontId="7" fillId="0" borderId="0" xfId="0" applyFont="1" applyAlignment="1">
      <alignment horizontal="center" vertical="center" readingOrder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9" fillId="0" borderId="0" xfId="0" applyFont="1" applyAlignment="1" applyProtection="1">
      <alignment horizontal="left"/>
      <protection hidden="1"/>
    </xf>
    <xf numFmtId="14" fontId="10" fillId="0" borderId="8" xfId="0" applyNumberFormat="1" applyFont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horizontal="left" vertical="top" wrapText="1"/>
      <protection locked="0"/>
    </xf>
    <xf numFmtId="0" fontId="10" fillId="3" borderId="11" xfId="0" applyFont="1" applyFill="1" applyBorder="1" applyAlignment="1" applyProtection="1">
      <alignment horizontal="left" vertical="top" wrapText="1"/>
      <protection locked="0"/>
    </xf>
    <xf numFmtId="0" fontId="10" fillId="3" borderId="12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wrapText="1"/>
      <protection hidden="1"/>
    </xf>
    <xf numFmtId="0" fontId="10" fillId="0" borderId="0" xfId="0" applyFont="1" applyAlignment="1" applyProtection="1">
      <alignment horizontal="left" vertical="top" wrapText="1"/>
      <protection hidden="1"/>
    </xf>
  </cellXfs>
  <cellStyles count="3">
    <cellStyle name="Prozent" xfId="1" builtinId="5"/>
    <cellStyle name="Standard" xfId="0" builtinId="0"/>
    <cellStyle name="Standard 3" xfId="2" xr:uid="{9457AA8E-E0EB-4E55-8226-F11E9E7AC5F0}"/>
  </cellStyles>
  <dxfs count="25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fgColor theme="0"/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7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Unsicherheit</a:t>
            </a:r>
          </a:p>
        </c:rich>
      </c:tx>
      <c:layout>
        <c:manualLayout>
          <c:xMode val="edge"/>
          <c:yMode val="edge"/>
          <c:x val="0.43435148295706066"/>
          <c:y val="1.99750312109862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197578345850066E-2"/>
          <c:y val="0.12529338327091138"/>
          <c:w val="0.87696104242747763"/>
          <c:h val="0.66761565114828447"/>
        </c:manualLayout>
      </c:layout>
      <c:scatterChart>
        <c:scatterStyle val="lineMarker"/>
        <c:varyColors val="0"/>
        <c:ser>
          <c:idx val="0"/>
          <c:order val="0"/>
          <c:tx>
            <c:strRef>
              <c:f>'Berechnung Unsicherheit'!$K$11</c:f>
              <c:strCache>
                <c:ptCount val="1"/>
                <c:pt idx="0">
                  <c:v>Uncertaincy absolute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'Berechnung Unsicherheit'!$B$12:$B$30</c:f>
              <c:numCache>
                <c:formatCode>General</c:formatCode>
                <c:ptCount val="19"/>
                <c:pt idx="0">
                  <c:v>450</c:v>
                </c:pt>
                <c:pt idx="1">
                  <c:v>427.5</c:v>
                </c:pt>
                <c:pt idx="2">
                  <c:v>405</c:v>
                </c:pt>
                <c:pt idx="3">
                  <c:v>382.5</c:v>
                </c:pt>
                <c:pt idx="4">
                  <c:v>360</c:v>
                </c:pt>
                <c:pt idx="5">
                  <c:v>337.5</c:v>
                </c:pt>
                <c:pt idx="6">
                  <c:v>315</c:v>
                </c:pt>
                <c:pt idx="7">
                  <c:v>292.5</c:v>
                </c:pt>
                <c:pt idx="8">
                  <c:v>270</c:v>
                </c:pt>
                <c:pt idx="9">
                  <c:v>247.5</c:v>
                </c:pt>
                <c:pt idx="10">
                  <c:v>225</c:v>
                </c:pt>
                <c:pt idx="11">
                  <c:v>202.5</c:v>
                </c:pt>
                <c:pt idx="12">
                  <c:v>180</c:v>
                </c:pt>
                <c:pt idx="13">
                  <c:v>157.5</c:v>
                </c:pt>
                <c:pt idx="14">
                  <c:v>135</c:v>
                </c:pt>
                <c:pt idx="15">
                  <c:v>112.5</c:v>
                </c:pt>
                <c:pt idx="16">
                  <c:v>90</c:v>
                </c:pt>
                <c:pt idx="17">
                  <c:v>67.5</c:v>
                </c:pt>
                <c:pt idx="18">
                  <c:v>45</c:v>
                </c:pt>
              </c:numCache>
            </c:numRef>
          </c:xVal>
          <c:yVal>
            <c:numRef>
              <c:f>'Berechnung Unsicherheit'!$K$12:$K$30</c:f>
              <c:numCache>
                <c:formatCode>0.0%</c:formatCode>
                <c:ptCount val="19"/>
                <c:pt idx="0">
                  <c:v>1.0811720857638081E-2</c:v>
                </c:pt>
                <c:pt idx="1">
                  <c:v>1.0851676285925732E-2</c:v>
                </c:pt>
                <c:pt idx="2">
                  <c:v>1.089895087155558E-2</c:v>
                </c:pt>
                <c:pt idx="3">
                  <c:v>1.0955464897389355E-2</c:v>
                </c:pt>
                <c:pt idx="4">
                  <c:v>1.1023815103965096E-2</c:v>
                </c:pt>
                <c:pt idx="5">
                  <c:v>1.1107581767227306E-2</c:v>
                </c:pt>
                <c:pt idx="6">
                  <c:v>1.1211810389948488E-2</c:v>
                </c:pt>
                <c:pt idx="7">
                  <c:v>1.1343789855183431E-2</c:v>
                </c:pt>
                <c:pt idx="8">
                  <c:v>1.151435165518327E-2</c:v>
                </c:pt>
                <c:pt idx="9">
                  <c:v>1.1740121135151289E-2</c:v>
                </c:pt>
                <c:pt idx="10">
                  <c:v>1.2047585264216759E-2</c:v>
                </c:pt>
                <c:pt idx="11">
                  <c:v>1.2480800264968384E-2</c:v>
                </c:pt>
                <c:pt idx="12">
                  <c:v>1.3116809375303864E-2</c:v>
                </c:pt>
                <c:pt idx="13">
                  <c:v>1.4098476808181879E-2</c:v>
                </c:pt>
                <c:pt idx="14">
                  <c:v>1.5709826463243214E-2</c:v>
                </c:pt>
                <c:pt idx="15">
                  <c:v>1.8566071093731751E-2</c:v>
                </c:pt>
                <c:pt idx="16">
                  <c:v>2.4161150482431101E-2</c:v>
                </c:pt>
                <c:pt idx="17">
                  <c:v>3.680782976390963E-2</c:v>
                </c:pt>
                <c:pt idx="18">
                  <c:v>7.3305380012640822E-2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7-4904-B58D-2F43CF137F45}"/>
            </c:ext>
          </c:extLst>
        </c:ser>
        <c:ser>
          <c:idx val="1"/>
          <c:order val="1"/>
          <c:tx>
            <c:strRef>
              <c:f>'Berechnung Unsicherheit'!$L$11</c:f>
              <c:strCache>
                <c:ptCount val="1"/>
                <c:pt idx="0">
                  <c:v>Uncertaincy o.S. [DF]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'Berechnung Unsicherheit'!$B$12:$B$30</c:f>
              <c:numCache>
                <c:formatCode>General</c:formatCode>
                <c:ptCount val="19"/>
                <c:pt idx="0">
                  <c:v>450</c:v>
                </c:pt>
                <c:pt idx="1">
                  <c:v>427.5</c:v>
                </c:pt>
                <c:pt idx="2">
                  <c:v>405</c:v>
                </c:pt>
                <c:pt idx="3">
                  <c:v>382.5</c:v>
                </c:pt>
                <c:pt idx="4">
                  <c:v>360</c:v>
                </c:pt>
                <c:pt idx="5">
                  <c:v>337.5</c:v>
                </c:pt>
                <c:pt idx="6">
                  <c:v>315</c:v>
                </c:pt>
                <c:pt idx="7">
                  <c:v>292.5</c:v>
                </c:pt>
                <c:pt idx="8">
                  <c:v>270</c:v>
                </c:pt>
                <c:pt idx="9">
                  <c:v>247.5</c:v>
                </c:pt>
                <c:pt idx="10">
                  <c:v>225</c:v>
                </c:pt>
                <c:pt idx="11">
                  <c:v>202.5</c:v>
                </c:pt>
                <c:pt idx="12">
                  <c:v>180</c:v>
                </c:pt>
                <c:pt idx="13">
                  <c:v>157.5</c:v>
                </c:pt>
                <c:pt idx="14">
                  <c:v>135</c:v>
                </c:pt>
                <c:pt idx="15">
                  <c:v>112.5</c:v>
                </c:pt>
                <c:pt idx="16">
                  <c:v>90</c:v>
                </c:pt>
                <c:pt idx="17">
                  <c:v>67.5</c:v>
                </c:pt>
                <c:pt idx="18">
                  <c:v>45</c:v>
                </c:pt>
              </c:numCache>
            </c:numRef>
          </c:xVal>
          <c:yVal>
            <c:numRef>
              <c:f>'Berechnung Unsicherheit'!$L$12:$L$30</c:f>
              <c:numCache>
                <c:formatCode>0.0%</c:formatCode>
                <c:ptCount val="19"/>
                <c:pt idx="0">
                  <c:v>1.0811720857638079E-2</c:v>
                </c:pt>
                <c:pt idx="1">
                  <c:v>1.0309092471629446E-2</c:v>
                </c:pt>
                <c:pt idx="2">
                  <c:v>9.8090557844000212E-3</c:v>
                </c:pt>
                <c:pt idx="3">
                  <c:v>9.3121451627809528E-3</c:v>
                </c:pt>
                <c:pt idx="4">
                  <c:v>8.8190520831720777E-3</c:v>
                </c:pt>
                <c:pt idx="5">
                  <c:v>8.3306863254204791E-3</c:v>
                </c:pt>
                <c:pt idx="6">
                  <c:v>7.8482672729639422E-3</c:v>
                </c:pt>
                <c:pt idx="7">
                  <c:v>7.37346340586923E-3</c:v>
                </c:pt>
                <c:pt idx="8">
                  <c:v>6.9086109931099622E-3</c:v>
                </c:pt>
                <c:pt idx="9">
                  <c:v>6.4570666243332093E-3</c:v>
                </c:pt>
                <c:pt idx="10">
                  <c:v>6.0237926321083796E-3</c:v>
                </c:pt>
                <c:pt idx="11">
                  <c:v>5.6163601192357731E-3</c:v>
                </c:pt>
                <c:pt idx="12">
                  <c:v>5.2467237501215456E-3</c:v>
                </c:pt>
                <c:pt idx="13">
                  <c:v>4.9344668828636574E-3</c:v>
                </c:pt>
                <c:pt idx="14">
                  <c:v>4.7129479389729648E-3</c:v>
                </c:pt>
                <c:pt idx="15">
                  <c:v>4.641517773432937E-3</c:v>
                </c:pt>
                <c:pt idx="16">
                  <c:v>4.8322300964862199E-3</c:v>
                </c:pt>
                <c:pt idx="17">
                  <c:v>5.5211744645864442E-3</c:v>
                </c:pt>
                <c:pt idx="18">
                  <c:v>7.3305380012640827E-3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E7-4904-B58D-2F43CF13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682904"/>
        <c:axId val="668683264"/>
      </c:scatterChart>
      <c:valAx>
        <c:axId val="66868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'Output Protocol_D'!$C$25</c:f>
              <c:strCache>
                <c:ptCount val="1"/>
                <c:pt idx="0">
                  <c:v>[Nm3/h]@0°C/1013,25mbar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8683264"/>
        <c:crosses val="autoZero"/>
        <c:crossBetween val="midCat"/>
      </c:valAx>
      <c:valAx>
        <c:axId val="668683264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8682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566354860496061"/>
          <c:y val="0.13670353003627356"/>
          <c:w val="0.25571454569719615"/>
          <c:h val="0.162500744030482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Uncertaincy</a:t>
            </a:r>
          </a:p>
        </c:rich>
      </c:tx>
      <c:layout>
        <c:manualLayout>
          <c:xMode val="edge"/>
          <c:yMode val="edge"/>
          <c:x val="0.43435148295706066"/>
          <c:y val="1.99750312109862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197578345850066E-2"/>
          <c:y val="0.12529338327091138"/>
          <c:w val="0.87696104242747763"/>
          <c:h val="0.66761565114828447"/>
        </c:manualLayout>
      </c:layout>
      <c:scatterChart>
        <c:scatterStyle val="lineMarker"/>
        <c:varyColors val="0"/>
        <c:ser>
          <c:idx val="0"/>
          <c:order val="0"/>
          <c:tx>
            <c:strRef>
              <c:f>'Berechnung Unsicherheit'!$K$11</c:f>
              <c:strCache>
                <c:ptCount val="1"/>
                <c:pt idx="0">
                  <c:v>Uncertaincy absolute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'Berechnung Unsicherheit'!$B$12:$B$30</c:f>
              <c:numCache>
                <c:formatCode>General</c:formatCode>
                <c:ptCount val="19"/>
                <c:pt idx="0">
                  <c:v>450</c:v>
                </c:pt>
                <c:pt idx="1">
                  <c:v>427.5</c:v>
                </c:pt>
                <c:pt idx="2">
                  <c:v>405</c:v>
                </c:pt>
                <c:pt idx="3">
                  <c:v>382.5</c:v>
                </c:pt>
                <c:pt idx="4">
                  <c:v>360</c:v>
                </c:pt>
                <c:pt idx="5">
                  <c:v>337.5</c:v>
                </c:pt>
                <c:pt idx="6">
                  <c:v>315</c:v>
                </c:pt>
                <c:pt idx="7">
                  <c:v>292.5</c:v>
                </c:pt>
                <c:pt idx="8">
                  <c:v>270</c:v>
                </c:pt>
                <c:pt idx="9">
                  <c:v>247.5</c:v>
                </c:pt>
                <c:pt idx="10">
                  <c:v>225</c:v>
                </c:pt>
                <c:pt idx="11">
                  <c:v>202.5</c:v>
                </c:pt>
                <c:pt idx="12">
                  <c:v>180</c:v>
                </c:pt>
                <c:pt idx="13">
                  <c:v>157.5</c:v>
                </c:pt>
                <c:pt idx="14">
                  <c:v>135</c:v>
                </c:pt>
                <c:pt idx="15">
                  <c:v>112.5</c:v>
                </c:pt>
                <c:pt idx="16">
                  <c:v>90</c:v>
                </c:pt>
                <c:pt idx="17">
                  <c:v>67.5</c:v>
                </c:pt>
                <c:pt idx="18">
                  <c:v>45</c:v>
                </c:pt>
              </c:numCache>
            </c:numRef>
          </c:xVal>
          <c:yVal>
            <c:numRef>
              <c:f>'Berechnung Unsicherheit'!$K$12:$K$30</c:f>
              <c:numCache>
                <c:formatCode>0.0%</c:formatCode>
                <c:ptCount val="19"/>
                <c:pt idx="0">
                  <c:v>1.0811720857638081E-2</c:v>
                </c:pt>
                <c:pt idx="1">
                  <c:v>1.0851676285925732E-2</c:v>
                </c:pt>
                <c:pt idx="2">
                  <c:v>1.089895087155558E-2</c:v>
                </c:pt>
                <c:pt idx="3">
                  <c:v>1.0955464897389355E-2</c:v>
                </c:pt>
                <c:pt idx="4">
                  <c:v>1.1023815103965096E-2</c:v>
                </c:pt>
                <c:pt idx="5">
                  <c:v>1.1107581767227306E-2</c:v>
                </c:pt>
                <c:pt idx="6">
                  <c:v>1.1211810389948488E-2</c:v>
                </c:pt>
                <c:pt idx="7">
                  <c:v>1.1343789855183431E-2</c:v>
                </c:pt>
                <c:pt idx="8">
                  <c:v>1.151435165518327E-2</c:v>
                </c:pt>
                <c:pt idx="9">
                  <c:v>1.1740121135151289E-2</c:v>
                </c:pt>
                <c:pt idx="10">
                  <c:v>1.2047585264216759E-2</c:v>
                </c:pt>
                <c:pt idx="11">
                  <c:v>1.2480800264968384E-2</c:v>
                </c:pt>
                <c:pt idx="12">
                  <c:v>1.3116809375303864E-2</c:v>
                </c:pt>
                <c:pt idx="13">
                  <c:v>1.4098476808181879E-2</c:v>
                </c:pt>
                <c:pt idx="14">
                  <c:v>1.5709826463243214E-2</c:v>
                </c:pt>
                <c:pt idx="15">
                  <c:v>1.8566071093731751E-2</c:v>
                </c:pt>
                <c:pt idx="16">
                  <c:v>2.4161150482431101E-2</c:v>
                </c:pt>
                <c:pt idx="17">
                  <c:v>3.680782976390963E-2</c:v>
                </c:pt>
                <c:pt idx="18">
                  <c:v>7.3305380012640822E-2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9E-453E-A615-6B298026DE89}"/>
            </c:ext>
          </c:extLst>
        </c:ser>
        <c:ser>
          <c:idx val="1"/>
          <c:order val="1"/>
          <c:tx>
            <c:strRef>
              <c:f>'Berechnung Unsicherheit'!$L$11</c:f>
              <c:strCache>
                <c:ptCount val="1"/>
                <c:pt idx="0">
                  <c:v>Uncertaincy o.S. [DF]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'Berechnung Unsicherheit'!$B$12:$B$30</c:f>
              <c:numCache>
                <c:formatCode>General</c:formatCode>
                <c:ptCount val="19"/>
                <c:pt idx="0">
                  <c:v>450</c:v>
                </c:pt>
                <c:pt idx="1">
                  <c:v>427.5</c:v>
                </c:pt>
                <c:pt idx="2">
                  <c:v>405</c:v>
                </c:pt>
                <c:pt idx="3">
                  <c:v>382.5</c:v>
                </c:pt>
                <c:pt idx="4">
                  <c:v>360</c:v>
                </c:pt>
                <c:pt idx="5">
                  <c:v>337.5</c:v>
                </c:pt>
                <c:pt idx="6">
                  <c:v>315</c:v>
                </c:pt>
                <c:pt idx="7">
                  <c:v>292.5</c:v>
                </c:pt>
                <c:pt idx="8">
                  <c:v>270</c:v>
                </c:pt>
                <c:pt idx="9">
                  <c:v>247.5</c:v>
                </c:pt>
                <c:pt idx="10">
                  <c:v>225</c:v>
                </c:pt>
                <c:pt idx="11">
                  <c:v>202.5</c:v>
                </c:pt>
                <c:pt idx="12">
                  <c:v>180</c:v>
                </c:pt>
                <c:pt idx="13">
                  <c:v>157.5</c:v>
                </c:pt>
                <c:pt idx="14">
                  <c:v>135</c:v>
                </c:pt>
                <c:pt idx="15">
                  <c:v>112.5</c:v>
                </c:pt>
                <c:pt idx="16">
                  <c:v>90</c:v>
                </c:pt>
                <c:pt idx="17">
                  <c:v>67.5</c:v>
                </c:pt>
                <c:pt idx="18">
                  <c:v>45</c:v>
                </c:pt>
              </c:numCache>
            </c:numRef>
          </c:xVal>
          <c:yVal>
            <c:numRef>
              <c:f>'Berechnung Unsicherheit'!$L$12:$L$30</c:f>
              <c:numCache>
                <c:formatCode>0.0%</c:formatCode>
                <c:ptCount val="19"/>
                <c:pt idx="0">
                  <c:v>1.0811720857638079E-2</c:v>
                </c:pt>
                <c:pt idx="1">
                  <c:v>1.0309092471629446E-2</c:v>
                </c:pt>
                <c:pt idx="2">
                  <c:v>9.8090557844000212E-3</c:v>
                </c:pt>
                <c:pt idx="3">
                  <c:v>9.3121451627809528E-3</c:v>
                </c:pt>
                <c:pt idx="4">
                  <c:v>8.8190520831720777E-3</c:v>
                </c:pt>
                <c:pt idx="5">
                  <c:v>8.3306863254204791E-3</c:v>
                </c:pt>
                <c:pt idx="6">
                  <c:v>7.8482672729639422E-3</c:v>
                </c:pt>
                <c:pt idx="7">
                  <c:v>7.37346340586923E-3</c:v>
                </c:pt>
                <c:pt idx="8">
                  <c:v>6.9086109931099622E-3</c:v>
                </c:pt>
                <c:pt idx="9">
                  <c:v>6.4570666243332093E-3</c:v>
                </c:pt>
                <c:pt idx="10">
                  <c:v>6.0237926321083796E-3</c:v>
                </c:pt>
                <c:pt idx="11">
                  <c:v>5.6163601192357731E-3</c:v>
                </c:pt>
                <c:pt idx="12">
                  <c:v>5.2467237501215456E-3</c:v>
                </c:pt>
                <c:pt idx="13">
                  <c:v>4.9344668828636574E-3</c:v>
                </c:pt>
                <c:pt idx="14">
                  <c:v>4.7129479389729648E-3</c:v>
                </c:pt>
                <c:pt idx="15">
                  <c:v>4.641517773432937E-3</c:v>
                </c:pt>
                <c:pt idx="16">
                  <c:v>4.8322300964862199E-3</c:v>
                </c:pt>
                <c:pt idx="17">
                  <c:v>5.5211744645864442E-3</c:v>
                </c:pt>
                <c:pt idx="18">
                  <c:v>7.3305380012640827E-3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49E-453E-A615-6B298026D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682904"/>
        <c:axId val="668683264"/>
      </c:scatterChart>
      <c:valAx>
        <c:axId val="66868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'Output Protocol_E'!$C$25</c:f>
              <c:strCache>
                <c:ptCount val="1"/>
                <c:pt idx="0">
                  <c:v>[Nm3/h]@0°C/1013,25mbar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8683264"/>
        <c:crosses val="autoZero"/>
        <c:crossBetween val="midCat"/>
      </c:valAx>
      <c:valAx>
        <c:axId val="668683264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8682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566354860496061"/>
          <c:y val="0.13670353003627356"/>
          <c:w val="0.25571454569719615"/>
          <c:h val="0.162500744030482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'Berechnung Unsicherheit'!$K$11</c:f>
              <c:strCache>
                <c:ptCount val="1"/>
                <c:pt idx="0">
                  <c:v>Uncertaincy absolute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'Berechnung Unsicherheit'!$B$12:$B$31</c:f>
              <c:numCache>
                <c:formatCode>General</c:formatCode>
                <c:ptCount val="19"/>
                <c:pt idx="0">
                  <c:v>450</c:v>
                </c:pt>
                <c:pt idx="1">
                  <c:v>427.5</c:v>
                </c:pt>
                <c:pt idx="2">
                  <c:v>405</c:v>
                </c:pt>
                <c:pt idx="3">
                  <c:v>382.5</c:v>
                </c:pt>
                <c:pt idx="4">
                  <c:v>360</c:v>
                </c:pt>
                <c:pt idx="5">
                  <c:v>337.5</c:v>
                </c:pt>
                <c:pt idx="6">
                  <c:v>315</c:v>
                </c:pt>
                <c:pt idx="7">
                  <c:v>292.5</c:v>
                </c:pt>
                <c:pt idx="8">
                  <c:v>270</c:v>
                </c:pt>
                <c:pt idx="9">
                  <c:v>247.5</c:v>
                </c:pt>
                <c:pt idx="10">
                  <c:v>225</c:v>
                </c:pt>
                <c:pt idx="11">
                  <c:v>202.5</c:v>
                </c:pt>
                <c:pt idx="12">
                  <c:v>180</c:v>
                </c:pt>
                <c:pt idx="13">
                  <c:v>157.5</c:v>
                </c:pt>
                <c:pt idx="14">
                  <c:v>135</c:v>
                </c:pt>
                <c:pt idx="15">
                  <c:v>112.5</c:v>
                </c:pt>
                <c:pt idx="16">
                  <c:v>90</c:v>
                </c:pt>
                <c:pt idx="17">
                  <c:v>67.5</c:v>
                </c:pt>
                <c:pt idx="18">
                  <c:v>45</c:v>
                </c:pt>
              </c:numCache>
            </c:numRef>
          </c:xVal>
          <c:yVal>
            <c:numRef>
              <c:f>'Berechnung Unsicherheit'!$K$12:$K$31</c:f>
              <c:numCache>
                <c:formatCode>0.0%</c:formatCode>
                <c:ptCount val="19"/>
                <c:pt idx="0">
                  <c:v>1.0811720857638081E-2</c:v>
                </c:pt>
                <c:pt idx="1">
                  <c:v>1.0851676285925732E-2</c:v>
                </c:pt>
                <c:pt idx="2">
                  <c:v>1.089895087155558E-2</c:v>
                </c:pt>
                <c:pt idx="3">
                  <c:v>1.0955464897389355E-2</c:v>
                </c:pt>
                <c:pt idx="4">
                  <c:v>1.1023815103965096E-2</c:v>
                </c:pt>
                <c:pt idx="5">
                  <c:v>1.1107581767227306E-2</c:v>
                </c:pt>
                <c:pt idx="6">
                  <c:v>1.1211810389948488E-2</c:v>
                </c:pt>
                <c:pt idx="7">
                  <c:v>1.1343789855183431E-2</c:v>
                </c:pt>
                <c:pt idx="8">
                  <c:v>1.151435165518327E-2</c:v>
                </c:pt>
                <c:pt idx="9">
                  <c:v>1.1740121135151289E-2</c:v>
                </c:pt>
                <c:pt idx="10">
                  <c:v>1.2047585264216759E-2</c:v>
                </c:pt>
                <c:pt idx="11">
                  <c:v>1.2480800264968384E-2</c:v>
                </c:pt>
                <c:pt idx="12">
                  <c:v>1.3116809375303864E-2</c:v>
                </c:pt>
                <c:pt idx="13">
                  <c:v>1.4098476808181879E-2</c:v>
                </c:pt>
                <c:pt idx="14">
                  <c:v>1.5709826463243214E-2</c:v>
                </c:pt>
                <c:pt idx="15">
                  <c:v>1.8566071093731751E-2</c:v>
                </c:pt>
                <c:pt idx="16">
                  <c:v>2.4161150482431101E-2</c:v>
                </c:pt>
                <c:pt idx="17">
                  <c:v>3.680782976390963E-2</c:v>
                </c:pt>
                <c:pt idx="18">
                  <c:v>7.3305380012640822E-2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00-446A-9E6A-CCBBC054EE5F}"/>
            </c:ext>
          </c:extLst>
        </c:ser>
        <c:ser>
          <c:idx val="1"/>
          <c:order val="1"/>
          <c:tx>
            <c:strRef>
              <c:f>'Berechnung Unsicherheit'!$L$11</c:f>
              <c:strCache>
                <c:ptCount val="1"/>
                <c:pt idx="0">
                  <c:v>Uncertaincy o.S. [DF]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'Berechnung Unsicherheit'!$B$12:$B$31</c:f>
              <c:numCache>
                <c:formatCode>General</c:formatCode>
                <c:ptCount val="19"/>
                <c:pt idx="0">
                  <c:v>450</c:v>
                </c:pt>
                <c:pt idx="1">
                  <c:v>427.5</c:v>
                </c:pt>
                <c:pt idx="2">
                  <c:v>405</c:v>
                </c:pt>
                <c:pt idx="3">
                  <c:v>382.5</c:v>
                </c:pt>
                <c:pt idx="4">
                  <c:v>360</c:v>
                </c:pt>
                <c:pt idx="5">
                  <c:v>337.5</c:v>
                </c:pt>
                <c:pt idx="6">
                  <c:v>315</c:v>
                </c:pt>
                <c:pt idx="7">
                  <c:v>292.5</c:v>
                </c:pt>
                <c:pt idx="8">
                  <c:v>270</c:v>
                </c:pt>
                <c:pt idx="9">
                  <c:v>247.5</c:v>
                </c:pt>
                <c:pt idx="10">
                  <c:v>225</c:v>
                </c:pt>
                <c:pt idx="11">
                  <c:v>202.5</c:v>
                </c:pt>
                <c:pt idx="12">
                  <c:v>180</c:v>
                </c:pt>
                <c:pt idx="13">
                  <c:v>157.5</c:v>
                </c:pt>
                <c:pt idx="14">
                  <c:v>135</c:v>
                </c:pt>
                <c:pt idx="15">
                  <c:v>112.5</c:v>
                </c:pt>
                <c:pt idx="16">
                  <c:v>90</c:v>
                </c:pt>
                <c:pt idx="17">
                  <c:v>67.5</c:v>
                </c:pt>
                <c:pt idx="18">
                  <c:v>45</c:v>
                </c:pt>
              </c:numCache>
            </c:numRef>
          </c:xVal>
          <c:yVal>
            <c:numRef>
              <c:f>'Berechnung Unsicherheit'!$L$12:$L$31</c:f>
              <c:numCache>
                <c:formatCode>0.0%</c:formatCode>
                <c:ptCount val="19"/>
                <c:pt idx="0">
                  <c:v>1.0811720857638079E-2</c:v>
                </c:pt>
                <c:pt idx="1">
                  <c:v>1.0309092471629446E-2</c:v>
                </c:pt>
                <c:pt idx="2">
                  <c:v>9.8090557844000212E-3</c:v>
                </c:pt>
                <c:pt idx="3">
                  <c:v>9.3121451627809528E-3</c:v>
                </c:pt>
                <c:pt idx="4">
                  <c:v>8.8190520831720777E-3</c:v>
                </c:pt>
                <c:pt idx="5">
                  <c:v>8.3306863254204791E-3</c:v>
                </c:pt>
                <c:pt idx="6">
                  <c:v>7.8482672729639422E-3</c:v>
                </c:pt>
                <c:pt idx="7">
                  <c:v>7.37346340586923E-3</c:v>
                </c:pt>
                <c:pt idx="8">
                  <c:v>6.9086109931099622E-3</c:v>
                </c:pt>
                <c:pt idx="9">
                  <c:v>6.4570666243332093E-3</c:v>
                </c:pt>
                <c:pt idx="10">
                  <c:v>6.0237926321083796E-3</c:v>
                </c:pt>
                <c:pt idx="11">
                  <c:v>5.6163601192357731E-3</c:v>
                </c:pt>
                <c:pt idx="12">
                  <c:v>5.2467237501215456E-3</c:v>
                </c:pt>
                <c:pt idx="13">
                  <c:v>4.9344668828636574E-3</c:v>
                </c:pt>
                <c:pt idx="14">
                  <c:v>4.7129479389729648E-3</c:v>
                </c:pt>
                <c:pt idx="15">
                  <c:v>4.641517773432937E-3</c:v>
                </c:pt>
                <c:pt idx="16">
                  <c:v>4.8322300964862199E-3</c:v>
                </c:pt>
                <c:pt idx="17">
                  <c:v>5.5211744645864442E-3</c:v>
                </c:pt>
                <c:pt idx="18">
                  <c:v>7.3305380012640827E-3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00-446A-9E6A-CCBBC054E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682904"/>
        <c:axId val="668683264"/>
      </c:scatterChart>
      <c:valAx>
        <c:axId val="66868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8683264"/>
        <c:crosses val="autoZero"/>
        <c:crossBetween val="midCat"/>
      </c:valAx>
      <c:valAx>
        <c:axId val="66868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8682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'P10 Druckverlust'!$E$2</c:f>
              <c:strCache>
                <c:ptCount val="1"/>
                <c:pt idx="0">
                  <c:v>Ploss DFC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0"/>
            <c:dispEq val="1"/>
            <c:trendlineLbl>
              <c:layout>
                <c:manualLayout>
                  <c:x val="-0.20905161854768153"/>
                  <c:y val="-6.10312773403324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'P10 Druckverlust'!$C$3:$C$15</c:f>
              <c:numCache>
                <c:formatCode>General</c:formatCode>
                <c:ptCount val="13"/>
                <c:pt idx="0">
                  <c:v>0.73338597776745373</c:v>
                </c:pt>
                <c:pt idx="1">
                  <c:v>0.50929581789406508</c:v>
                </c:pt>
                <c:pt idx="2">
                  <c:v>0.45212996078350676</c:v>
                </c:pt>
                <c:pt idx="3">
                  <c:v>0.40584510488433312</c:v>
                </c:pt>
                <c:pt idx="4">
                  <c:v>0.33613523981008298</c:v>
                </c:pt>
                <c:pt idx="5">
                  <c:v>0.28647889756541162</c:v>
                </c:pt>
                <c:pt idx="6">
                  <c:v>0.24945101284607271</c:v>
                </c:pt>
                <c:pt idx="7">
                  <c:v>0.22082748354000478</c:v>
                </c:pt>
                <c:pt idx="8">
                  <c:v>0.17952677580765794</c:v>
                </c:pt>
                <c:pt idx="9">
                  <c:v>0.12223099629457561</c:v>
                </c:pt>
                <c:pt idx="10">
                  <c:v>9.262817687948309E-2</c:v>
                </c:pt>
                <c:pt idx="11">
                  <c:v>3.7738820105950227E-2</c:v>
                </c:pt>
                <c:pt idx="12">
                  <c:v>3.8151349718444421E-3</c:v>
                </c:pt>
              </c:numCache>
            </c:numRef>
          </c:xVal>
          <c:yVal>
            <c:numRef>
              <c:f>'P10 Druckverlust'!$E$3:$E$15</c:f>
              <c:numCache>
                <c:formatCode>0.0%</c:formatCode>
                <c:ptCount val="13"/>
                <c:pt idx="0">
                  <c:v>0.48</c:v>
                </c:pt>
                <c:pt idx="1">
                  <c:v>0.3165</c:v>
                </c:pt>
                <c:pt idx="2">
                  <c:v>0.27599999999999997</c:v>
                </c:pt>
                <c:pt idx="3">
                  <c:v>0.2445</c:v>
                </c:pt>
                <c:pt idx="4">
                  <c:v>0.20099999999999998</c:v>
                </c:pt>
                <c:pt idx="5">
                  <c:v>0.17099999999999999</c:v>
                </c:pt>
                <c:pt idx="6">
                  <c:v>0.15</c:v>
                </c:pt>
                <c:pt idx="7">
                  <c:v>0.13350000000000001</c:v>
                </c:pt>
                <c:pt idx="8">
                  <c:v>0.111</c:v>
                </c:pt>
                <c:pt idx="9">
                  <c:v>7.3999999999999996E-2</c:v>
                </c:pt>
                <c:pt idx="10">
                  <c:v>3.6999999999999998E-2</c:v>
                </c:pt>
                <c:pt idx="11">
                  <c:v>7.4000000000000003E-3</c:v>
                </c:pt>
                <c:pt idx="12">
                  <c:v>1.4800000000000002E-4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69-4EE0-A0C1-8F2153C3C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191472"/>
        <c:axId val="843191832"/>
      </c:scatterChart>
      <c:valAx>
        <c:axId val="843191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43191832"/>
        <c:crosses val="autoZero"/>
        <c:crossBetween val="midCat"/>
      </c:valAx>
      <c:valAx>
        <c:axId val="843191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43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1229592</xdr:colOff>
      <xdr:row>0</xdr:row>
      <xdr:rowOff>60614</xdr:rowOff>
    </xdr:from>
    <xdr:to>
      <xdr:col>4</xdr:col>
      <xdr:colOff>589802</xdr:colOff>
      <xdr:row>2</xdr:row>
      <xdr:rowOff>132483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06EB9F3-37F4-4A66-ABAE-562D28651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660" y="60614"/>
          <a:ext cx="1813504" cy="504824"/>
        </a:xfrm>
        <a:prstGeom prst="rect">
          <a:avLst/>
        </a:prstGeom>
      </xdr:spPr>
    </xdr:pic>
    <xdr:clientData/>
  </xdr:twoCellAnchor>
  <xdr:oneCellAnchor>
    <xdr:from>
      <xdr:col>12</xdr:col>
      <xdr:colOff>846106</xdr:colOff>
      <xdr:row>128</xdr:row>
      <xdr:rowOff>41752</xdr:rowOff>
    </xdr:from>
    <xdr:ext cx="2811494" cy="2154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44104642-17CF-F946-785E-AA5506006EF7}"/>
                </a:ext>
              </a:extLst>
            </xdr:cNvPr>
            <xdr:cNvSpPr txBox="1"/>
          </xdr:nvSpPr>
          <xdr:spPr>
            <a:xfrm>
              <a:off x="11961781" y="23558977"/>
              <a:ext cx="2811494" cy="215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de-DE" sz="1100"/>
                <a:t>KEPS</a:t>
              </a:r>
              <a14:m>
                <m:oMath xmlns:m="http://schemas.openxmlformats.org/officeDocument/2006/math">
                  <m:r>
                    <a:rPr lang="de-DE" sz="1100" i="1">
                      <a:latin typeface="Cambria Math" panose="02040503050406030204" pitchFamily="18" charset="0"/>
                    </a:rPr>
                    <m:t>=</m:t>
                  </m:r>
                  <m:r>
                    <a:rPr lang="de-DE" sz="1100" b="0" i="1">
                      <a:latin typeface="Cambria Math" panose="02040503050406030204" pitchFamily="18" charset="0"/>
                    </a:rPr>
                    <m:t>(1−</m:t>
                  </m:r>
                  <m:r>
                    <a:rPr lang="de-DE" sz="1100" b="0" i="1">
                      <a:latin typeface="Cambria Math" panose="02040503050406030204" pitchFamily="18" charset="0"/>
                    </a:rPr>
                    <m:t>𝐸𝑝𝑠𝑖𝑙𝑜𝑛</m:t>
                  </m:r>
                </m:oMath>
              </a14:m>
              <a:r>
                <a:rPr lang="de-DE" sz="1100"/>
                <a:t>) * p/dp * 4096^2/16000</a:t>
              </a:r>
            </a:p>
            <a:p>
              <a:endParaRPr lang="de-DE" sz="1100"/>
            </a:p>
          </xdr:txBody>
        </xdr:sp>
      </mc:Choice>
      <mc:Fallback xmlns="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44104642-17CF-F946-785E-AA5506006EF7}"/>
                </a:ext>
              </a:extLst>
            </xdr:cNvPr>
            <xdr:cNvSpPr txBox="1"/>
          </xdr:nvSpPr>
          <xdr:spPr>
            <a:xfrm>
              <a:off x="11961781" y="23558977"/>
              <a:ext cx="2811494" cy="215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de-DE" sz="1100"/>
                <a:t>KEPS</a:t>
              </a:r>
              <a:r>
                <a:rPr lang="de-DE" sz="1100" i="0">
                  <a:latin typeface="Cambria Math" panose="02040503050406030204" pitchFamily="18" charset="0"/>
                </a:rPr>
                <a:t>=</a:t>
              </a:r>
              <a:r>
                <a:rPr lang="de-DE" sz="1100" b="0" i="0">
                  <a:latin typeface="Cambria Math" panose="02040503050406030204" pitchFamily="18" charset="0"/>
                </a:rPr>
                <a:t>(1−𝐸𝑝𝑠𝑖𝑙𝑜𝑛</a:t>
              </a:r>
              <a:r>
                <a:rPr lang="de-DE" sz="1100"/>
                <a:t>) * p/dp * 4096^2/16000</a:t>
              </a:r>
            </a:p>
            <a:p>
              <a:endParaRPr lang="de-DE" sz="1100"/>
            </a:p>
          </xdr:txBody>
        </xdr:sp>
      </mc:Fallback>
    </mc:AlternateContent>
    <xdr:clientData/>
  </xdr:oneCellAnchor>
  <xdr:oneCellAnchor>
    <xdr:from>
      <xdr:col>21</xdr:col>
      <xdr:colOff>514350</xdr:colOff>
      <xdr:row>103</xdr:row>
      <xdr:rowOff>9525</xdr:rowOff>
    </xdr:from>
    <xdr:ext cx="2811494" cy="215423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10BAD9C-E81A-4E02-A0EC-8C569FC31C2C}"/>
            </a:ext>
          </a:extLst>
        </xdr:cNvPr>
        <xdr:cNvSpPr txBox="1"/>
      </xdr:nvSpPr>
      <xdr:spPr>
        <a:xfrm>
          <a:off x="27746325" y="18573750"/>
          <a:ext cx="2811494" cy="215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r>
            <a:rPr lang="de-DE" sz="1100"/>
            <a:t>Epsilon=1-(KEPS*dp/p*16000/4096^2)</a:t>
          </a:r>
        </a:p>
        <a:p>
          <a:endParaRPr lang="de-DE" sz="1100"/>
        </a:p>
      </xdr:txBody>
    </xdr:sp>
    <xdr:clientData/>
  </xdr:oneCellAnchor>
  <xdr:twoCellAnchor>
    <xdr:from>
      <xdr:col>9</xdr:col>
      <xdr:colOff>225136</xdr:colOff>
      <xdr:row>2</xdr:row>
      <xdr:rowOff>77930</xdr:rowOff>
    </xdr:from>
    <xdr:to>
      <xdr:col>32</xdr:col>
      <xdr:colOff>406978</xdr:colOff>
      <xdr:row>155</xdr:row>
      <xdr:rowOff>190499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440F2F2D-F5EF-807F-A09D-98FD15071352}"/>
            </a:ext>
          </a:extLst>
        </xdr:cNvPr>
        <xdr:cNvSpPr/>
      </xdr:nvSpPr>
      <xdr:spPr>
        <a:xfrm>
          <a:off x="9421091" y="510885"/>
          <a:ext cx="6070023" cy="3029815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47625</xdr:rowOff>
    </xdr:from>
    <xdr:to>
      <xdr:col>9</xdr:col>
      <xdr:colOff>794329</xdr:colOff>
      <xdr:row>2</xdr:row>
      <xdr:rowOff>85724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171943C-DA0F-49B3-AA1B-D37E4C33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47625"/>
          <a:ext cx="1813504" cy="504824"/>
        </a:xfrm>
        <a:prstGeom prst="rect">
          <a:avLst/>
        </a:prstGeom>
      </xdr:spPr>
    </xdr:pic>
    <xdr:clientData/>
  </xdr:twoCellAnchor>
  <xdr:twoCellAnchor>
    <xdr:from>
      <xdr:col>0</xdr:col>
      <xdr:colOff>276224</xdr:colOff>
      <xdr:row>32</xdr:row>
      <xdr:rowOff>38099</xdr:rowOff>
    </xdr:from>
    <xdr:to>
      <xdr:col>9</xdr:col>
      <xdr:colOff>790575</xdr:colOff>
      <xdr:row>50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C9581DC-821F-49A1-911B-3B350B215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47625</xdr:rowOff>
    </xdr:from>
    <xdr:to>
      <xdr:col>9</xdr:col>
      <xdr:colOff>794329</xdr:colOff>
      <xdr:row>2</xdr:row>
      <xdr:rowOff>85724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5DBDBD5-C293-4D3F-8D9E-BE1DC31D8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47625"/>
          <a:ext cx="1813504" cy="504824"/>
        </a:xfrm>
        <a:prstGeom prst="rect">
          <a:avLst/>
        </a:prstGeom>
      </xdr:spPr>
    </xdr:pic>
    <xdr:clientData/>
  </xdr:twoCellAnchor>
  <xdr:twoCellAnchor>
    <xdr:from>
      <xdr:col>0</xdr:col>
      <xdr:colOff>276224</xdr:colOff>
      <xdr:row>32</xdr:row>
      <xdr:rowOff>38099</xdr:rowOff>
    </xdr:from>
    <xdr:to>
      <xdr:col>9</xdr:col>
      <xdr:colOff>790575</xdr:colOff>
      <xdr:row>50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70539BA-0BD7-4727-9654-039A6AED6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12</xdr:row>
      <xdr:rowOff>52387</xdr:rowOff>
    </xdr:from>
    <xdr:to>
      <xdr:col>20</xdr:col>
      <xdr:colOff>200025</xdr:colOff>
      <xdr:row>26</xdr:row>
      <xdr:rowOff>128587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488B4B0-9788-C154-E0F2-38F3DA384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0</xdr:row>
      <xdr:rowOff>0</xdr:rowOff>
    </xdr:from>
    <xdr:to>
      <xdr:col>172</xdr:col>
      <xdr:colOff>9525</xdr:colOff>
      <xdr:row>32</xdr:row>
      <xdr:rowOff>66675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36147ED4-3BD0-0EFA-05E2-47CC492EC588}"/>
            </a:ext>
          </a:extLst>
        </xdr:cNvPr>
        <xdr:cNvSpPr/>
      </xdr:nvSpPr>
      <xdr:spPr>
        <a:xfrm>
          <a:off x="9525" y="0"/>
          <a:ext cx="3276600" cy="59721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242887</xdr:colOff>
      <xdr:row>0</xdr:row>
      <xdr:rowOff>109537</xdr:rowOff>
    </xdr:from>
    <xdr:to>
      <xdr:col>12</xdr:col>
      <xdr:colOff>242887</xdr:colOff>
      <xdr:row>14</xdr:row>
      <xdr:rowOff>185737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92A7F5A-EB02-53E0-5F08-C63357757D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476250</xdr:colOff>
      <xdr:row>0</xdr:row>
      <xdr:rowOff>19050</xdr:rowOff>
    </xdr:from>
    <xdr:to>
      <xdr:col>14</xdr:col>
      <xdr:colOff>409575</xdr:colOff>
      <xdr:row>26</xdr:row>
      <xdr:rowOff>9525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07E8E68E-2158-1141-4089-3BFAF3A34644}"/>
            </a:ext>
          </a:extLst>
        </xdr:cNvPr>
        <xdr:cNvSpPr/>
      </xdr:nvSpPr>
      <xdr:spPr>
        <a:xfrm>
          <a:off x="476250" y="19050"/>
          <a:ext cx="2609850" cy="49434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p@Operational%20Flow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p@Operational%20Flow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1578-F111-47F7-856F-ABCFBE446880}">
  <dimension ref="C1:AC198"/>
  <sheetViews>
    <sheetView showGridLines="0" showRowColHeaders="0" tabSelected="1" topLeftCell="A12" zoomScale="110" zoomScaleNormal="110" workbookViewId="0">
      <selection activeCell="D26" sqref="D26"/>
    </sheetView>
  </sheetViews>
  <sheetFormatPr baseColWidth="10" defaultRowHeight="15" x14ac:dyDescent="0.25"/>
  <cols>
    <col min="1" max="1" width="2.140625" customWidth="1"/>
    <col min="2" max="2" width="3" customWidth="1"/>
    <col min="3" max="3" width="21.140625" customWidth="1"/>
    <col min="4" max="4" width="36.5703125" customWidth="1"/>
    <col min="5" max="5" width="22.7109375" customWidth="1"/>
    <col min="6" max="6" width="9.28515625" customWidth="1"/>
    <col min="7" max="10" width="14.28515625" customWidth="1"/>
    <col min="11" max="28" width="1.28515625" customWidth="1"/>
    <col min="29" max="30" width="14.28515625" customWidth="1"/>
    <col min="31" max="43" width="11" customWidth="1"/>
  </cols>
  <sheetData>
    <row r="1" spans="3:26" ht="18.75" x14ac:dyDescent="0.3">
      <c r="C1" s="7" t="s">
        <v>287</v>
      </c>
    </row>
    <row r="2" spans="3:26" x14ac:dyDescent="0.25">
      <c r="C2" s="6" t="s">
        <v>337</v>
      </c>
    </row>
    <row r="4" spans="3:26" ht="15.75" thickBot="1" x14ac:dyDescent="0.3">
      <c r="C4" s="6" t="s">
        <v>280</v>
      </c>
    </row>
    <row r="5" spans="3:26" x14ac:dyDescent="0.25">
      <c r="C5" s="12" t="s">
        <v>281</v>
      </c>
      <c r="D5" s="13"/>
      <c r="E5" s="14"/>
    </row>
    <row r="6" spans="3:26" x14ac:dyDescent="0.25">
      <c r="C6" s="15" t="s">
        <v>282</v>
      </c>
      <c r="D6" s="36"/>
      <c r="E6" s="16"/>
    </row>
    <row r="7" spans="3:26" x14ac:dyDescent="0.25">
      <c r="C7" s="15" t="s">
        <v>283</v>
      </c>
      <c r="D7" s="36"/>
      <c r="E7" s="16"/>
    </row>
    <row r="8" spans="3:26" x14ac:dyDescent="0.25">
      <c r="C8" s="15" t="s">
        <v>284</v>
      </c>
      <c r="D8" s="36"/>
      <c r="E8" s="16"/>
    </row>
    <row r="9" spans="3:26" x14ac:dyDescent="0.25">
      <c r="C9" s="15" t="s">
        <v>285</v>
      </c>
      <c r="D9" s="36"/>
      <c r="E9" s="16"/>
    </row>
    <row r="10" spans="3:26" ht="15.75" thickBot="1" x14ac:dyDescent="0.3">
      <c r="C10" s="17" t="s">
        <v>286</v>
      </c>
      <c r="D10" s="37"/>
      <c r="E10" s="18"/>
    </row>
    <row r="11" spans="3:26" ht="19.5" thickBot="1" x14ac:dyDescent="0.35">
      <c r="K11" s="7" t="s">
        <v>0</v>
      </c>
      <c r="L11">
        <v>0</v>
      </c>
    </row>
    <row r="12" spans="3:26" x14ac:dyDescent="0.25">
      <c r="C12" s="38" t="s">
        <v>139</v>
      </c>
      <c r="D12" s="41"/>
      <c r="E12" s="14"/>
      <c r="M12" t="s">
        <v>17</v>
      </c>
      <c r="N12" t="s">
        <v>15</v>
      </c>
      <c r="O12" t="s">
        <v>16</v>
      </c>
      <c r="P12" t="s">
        <v>69</v>
      </c>
      <c r="Q12" t="s">
        <v>67</v>
      </c>
      <c r="R12" t="s">
        <v>70</v>
      </c>
      <c r="S12" t="s">
        <v>71</v>
      </c>
      <c r="T12" t="s">
        <v>160</v>
      </c>
      <c r="U12">
        <v>0</v>
      </c>
    </row>
    <row r="13" spans="3:26" x14ac:dyDescent="0.25">
      <c r="C13" s="15" t="s">
        <v>159</v>
      </c>
      <c r="D13" s="36" t="s">
        <v>1</v>
      </c>
      <c r="E13" s="16"/>
      <c r="L13" s="1" t="s">
        <v>1</v>
      </c>
      <c r="M13" s="1">
        <v>1</v>
      </c>
      <c r="N13" s="1">
        <v>10000</v>
      </c>
      <c r="O13" s="1">
        <v>25</v>
      </c>
      <c r="P13" s="1"/>
      <c r="Q13" s="1"/>
      <c r="R13" s="1"/>
      <c r="S13" s="1">
        <f>0.623*N109</f>
        <v>0.20941225440168168</v>
      </c>
      <c r="T13" s="1" t="s">
        <v>163</v>
      </c>
      <c r="U13" s="1">
        <v>0</v>
      </c>
      <c r="V13" s="1"/>
      <c r="W13" s="1"/>
      <c r="X13" s="1"/>
      <c r="Y13" s="1"/>
      <c r="Z13" s="1"/>
    </row>
    <row r="14" spans="3:26" x14ac:dyDescent="0.25">
      <c r="C14" s="96" t="str">
        <f>VLOOKUP(D13,L13:T21,9,FALSE)</f>
        <v>P10 insertion probe type for pipes &gt;25mm</v>
      </c>
      <c r="D14" s="97"/>
      <c r="E14" s="98"/>
      <c r="L14" s="1" t="s">
        <v>2</v>
      </c>
      <c r="M14" s="1">
        <f>M13+1</f>
        <v>2</v>
      </c>
      <c r="N14" s="1">
        <v>35</v>
      </c>
      <c r="O14" s="1">
        <v>20</v>
      </c>
      <c r="P14" s="1">
        <f>O14/N14</f>
        <v>0.5714285714285714</v>
      </c>
      <c r="Q14" s="1">
        <v>0.94199999999999995</v>
      </c>
      <c r="R14" s="1">
        <v>780</v>
      </c>
      <c r="S14" s="1">
        <v>0.45540000000000003</v>
      </c>
      <c r="T14" s="1" t="s">
        <v>164</v>
      </c>
      <c r="U14" s="1">
        <v>0</v>
      </c>
      <c r="V14" s="1"/>
      <c r="W14" s="1"/>
      <c r="X14" s="1"/>
      <c r="Y14" s="1"/>
      <c r="Z14" s="1"/>
    </row>
    <row r="15" spans="3:26" x14ac:dyDescent="0.25">
      <c r="C15" s="15" t="s">
        <v>133</v>
      </c>
      <c r="D15" s="36">
        <v>50</v>
      </c>
      <c r="E15" s="16" t="s">
        <v>47</v>
      </c>
      <c r="L15" s="1" t="s">
        <v>3</v>
      </c>
      <c r="M15" s="1">
        <f t="shared" ref="M15:M19" si="0">M14+1</f>
        <v>3</v>
      </c>
      <c r="N15" s="1">
        <v>25</v>
      </c>
      <c r="O15" s="1">
        <v>15</v>
      </c>
      <c r="P15" s="1">
        <f t="shared" ref="P15:P19" si="1">O15/N15</f>
        <v>0.6</v>
      </c>
      <c r="Q15" s="42">
        <v>0.98099999999999998</v>
      </c>
      <c r="R15" s="1">
        <v>765</v>
      </c>
      <c r="S15" s="1">
        <v>0.52800000000000002</v>
      </c>
      <c r="T15" s="1" t="s">
        <v>165</v>
      </c>
      <c r="U15" s="1">
        <v>0</v>
      </c>
      <c r="V15" s="1"/>
      <c r="W15" s="1"/>
      <c r="X15" s="1"/>
      <c r="Y15" s="1"/>
      <c r="Z15" s="1"/>
    </row>
    <row r="16" spans="3:26" x14ac:dyDescent="0.25">
      <c r="C16" s="15" t="s">
        <v>134</v>
      </c>
      <c r="D16" s="36">
        <v>22.5</v>
      </c>
      <c r="E16" s="16" t="s">
        <v>47</v>
      </c>
      <c r="L16" s="1" t="s">
        <v>4</v>
      </c>
      <c r="M16" s="1">
        <f t="shared" si="0"/>
        <v>4</v>
      </c>
      <c r="N16" s="1">
        <v>15</v>
      </c>
      <c r="O16" s="1">
        <v>10</v>
      </c>
      <c r="P16" s="1">
        <f t="shared" si="1"/>
        <v>0.66666666666666663</v>
      </c>
      <c r="Q16" s="1">
        <v>0.94799999999999995</v>
      </c>
      <c r="R16" s="1">
        <v>740</v>
      </c>
      <c r="S16" s="1">
        <v>0.56100000000000005</v>
      </c>
      <c r="T16" s="1" t="s">
        <v>168</v>
      </c>
      <c r="U16" s="1">
        <v>0</v>
      </c>
      <c r="V16" s="1"/>
      <c r="W16" s="1"/>
      <c r="X16" s="1"/>
      <c r="Y16" s="1"/>
      <c r="Z16" s="1"/>
    </row>
    <row r="17" spans="3:26" x14ac:dyDescent="0.25">
      <c r="C17" s="15" t="s">
        <v>143</v>
      </c>
      <c r="D17" s="36">
        <v>2.8374799999999998</v>
      </c>
      <c r="E17" s="16" t="s">
        <v>45</v>
      </c>
      <c r="L17" s="1" t="s">
        <v>5</v>
      </c>
      <c r="M17" s="1">
        <f t="shared" si="0"/>
        <v>5</v>
      </c>
      <c r="N17" s="1">
        <v>15</v>
      </c>
      <c r="O17" s="1">
        <v>8</v>
      </c>
      <c r="P17" s="1">
        <f t="shared" si="1"/>
        <v>0.53333333333333333</v>
      </c>
      <c r="Q17" s="1">
        <v>0.93899999999999995</v>
      </c>
      <c r="R17" s="1">
        <v>631</v>
      </c>
      <c r="S17" s="1">
        <v>0.71099999999999997</v>
      </c>
      <c r="T17" s="1" t="s">
        <v>166</v>
      </c>
      <c r="U17" s="1">
        <v>0</v>
      </c>
      <c r="V17" s="1"/>
      <c r="W17" s="1"/>
      <c r="X17" s="1"/>
      <c r="Y17" s="1"/>
      <c r="Z17" s="1"/>
    </row>
    <row r="18" spans="3:26" x14ac:dyDescent="0.25">
      <c r="C18" s="15" t="s">
        <v>135</v>
      </c>
      <c r="D18" s="36">
        <v>0.97397999999999996</v>
      </c>
      <c r="E18" s="16" t="s">
        <v>45</v>
      </c>
      <c r="L18" s="1" t="s">
        <v>6</v>
      </c>
      <c r="M18" s="1">
        <f>M17+1</f>
        <v>6</v>
      </c>
      <c r="N18" s="1">
        <v>15</v>
      </c>
      <c r="O18" s="1">
        <v>6</v>
      </c>
      <c r="P18" s="1">
        <f t="shared" si="1"/>
        <v>0.4</v>
      </c>
      <c r="Q18" s="1">
        <v>0.92849999999999999</v>
      </c>
      <c r="R18" s="1">
        <v>570</v>
      </c>
      <c r="S18" s="1">
        <v>0.82699999999999996</v>
      </c>
      <c r="T18" s="1" t="s">
        <v>167</v>
      </c>
      <c r="U18" s="1">
        <v>0</v>
      </c>
      <c r="V18" s="1"/>
      <c r="W18" s="1"/>
      <c r="X18" s="1"/>
      <c r="Y18" s="1"/>
      <c r="Z18" s="1"/>
    </row>
    <row r="19" spans="3:26" x14ac:dyDescent="0.25">
      <c r="C19" s="93" t="str">
        <f>IF(D15&lt;O22,"Inside diameter too small, please check",IF(D15&gt;N22,"Inside Diameter is big, please check",""))</f>
        <v/>
      </c>
      <c r="D19" s="94"/>
      <c r="E19" s="95"/>
      <c r="L19" s="1" t="s">
        <v>7</v>
      </c>
      <c r="M19" s="1">
        <f t="shared" si="0"/>
        <v>7</v>
      </c>
      <c r="N19" s="1">
        <v>15</v>
      </c>
      <c r="O19" s="1">
        <v>4</v>
      </c>
      <c r="P19" s="1">
        <f t="shared" si="1"/>
        <v>0.26666666666666666</v>
      </c>
      <c r="Q19" s="1">
        <v>0.9012</v>
      </c>
      <c r="R19" s="1">
        <v>581</v>
      </c>
      <c r="S19" s="1">
        <v>0.877</v>
      </c>
      <c r="T19" s="1" t="s">
        <v>169</v>
      </c>
      <c r="U19" s="1">
        <v>0</v>
      </c>
      <c r="V19" s="1"/>
      <c r="W19" s="1"/>
      <c r="X19" s="1"/>
      <c r="Y19" s="1"/>
      <c r="Z19" s="1"/>
    </row>
    <row r="20" spans="3:26" x14ac:dyDescent="0.25">
      <c r="C20" s="15" t="s">
        <v>138</v>
      </c>
      <c r="D20" s="36">
        <v>1</v>
      </c>
      <c r="E20" s="25" t="s">
        <v>45</v>
      </c>
      <c r="L20" s="1" t="s">
        <v>161</v>
      </c>
      <c r="M20">
        <v>8</v>
      </c>
      <c r="N20" s="1">
        <v>10000</v>
      </c>
      <c r="O20" s="1">
        <v>1</v>
      </c>
      <c r="S20" s="2">
        <v>0</v>
      </c>
      <c r="T20" s="1" t="s">
        <v>171</v>
      </c>
      <c r="U20" s="1">
        <v>0</v>
      </c>
    </row>
    <row r="21" spans="3:26" ht="15.75" thickBot="1" x14ac:dyDescent="0.3">
      <c r="C21" s="90" t="str">
        <f>IF(D20&lt;&gt;1,"ImprooveIT is by standard 1,000. This is a overall calibration factor of your meter. Please check if this is correct","")</f>
        <v/>
      </c>
      <c r="D21" s="91"/>
      <c r="E21" s="92"/>
      <c r="L21" s="1" t="s">
        <v>162</v>
      </c>
      <c r="M21">
        <v>9</v>
      </c>
      <c r="N21" s="1">
        <v>10000</v>
      </c>
      <c r="O21" s="1">
        <v>1</v>
      </c>
      <c r="P21" s="1">
        <f>D16/D15</f>
        <v>0.45</v>
      </c>
      <c r="Q21">
        <f>D18</f>
        <v>0.97397999999999996</v>
      </c>
      <c r="S21" s="2">
        <v>0</v>
      </c>
      <c r="T21" s="1" t="s">
        <v>170</v>
      </c>
      <c r="U21" s="1">
        <v>0</v>
      </c>
    </row>
    <row r="22" spans="3:26" ht="15.75" thickBot="1" x14ac:dyDescent="0.3">
      <c r="K22" t="s">
        <v>63</v>
      </c>
      <c r="L22" t="str">
        <f>VLOOKUP($D13,$L13:$S21,1,FALSE)</f>
        <v>P10</v>
      </c>
      <c r="M22">
        <f>VLOOKUP($D13,$L13:$S21,2,FALSE)</f>
        <v>1</v>
      </c>
      <c r="N22">
        <f>VLOOKUP($D13,$L13:$S21,3,FALSE)</f>
        <v>10000</v>
      </c>
      <c r="O22">
        <f>VLOOKUP($D13,$L13:$S21,4,FALSE)</f>
        <v>25</v>
      </c>
      <c r="P22">
        <f>VLOOKUP($D13,$L13:$S21,5,FALSE)</f>
        <v>0</v>
      </c>
      <c r="Q22">
        <f>VLOOKUP($D13,$L13:$S21,6,FALSE)</f>
        <v>0</v>
      </c>
      <c r="R22">
        <f>VLOOKUP($D13,$L13:$S21,7,FALSE)</f>
        <v>0</v>
      </c>
      <c r="S22">
        <f>VLOOKUP($D13,$L13:$S21,8,FALSE)</f>
        <v>0.20941225440168168</v>
      </c>
    </row>
    <row r="23" spans="3:26" x14ac:dyDescent="0.25">
      <c r="C23" s="38" t="s">
        <v>14</v>
      </c>
      <c r="D23" s="39" t="s">
        <v>9</v>
      </c>
      <c r="E23" s="14" t="str">
        <f>N44</f>
        <v>-</v>
      </c>
      <c r="K23" t="s">
        <v>104</v>
      </c>
      <c r="M23">
        <f>IF(M22=1,1,IF(M22=8,1,IF(M22=9,2,3)))</f>
        <v>1</v>
      </c>
    </row>
    <row r="24" spans="3:26" ht="15.75" thickBot="1" x14ac:dyDescent="0.3">
      <c r="C24" s="17" t="s">
        <v>288</v>
      </c>
      <c r="D24" s="37">
        <v>12321</v>
      </c>
      <c r="E24" s="18" t="s">
        <v>48</v>
      </c>
      <c r="F24" s="40" t="s">
        <v>49</v>
      </c>
    </row>
    <row r="25" spans="3:26" ht="15.75" thickBot="1" x14ac:dyDescent="0.3">
      <c r="C25" s="6" t="s">
        <v>140</v>
      </c>
    </row>
    <row r="26" spans="3:26" x14ac:dyDescent="0.25">
      <c r="C26" s="12" t="s">
        <v>125</v>
      </c>
      <c r="D26" s="13">
        <v>100</v>
      </c>
      <c r="E26" s="19" t="s">
        <v>54</v>
      </c>
    </row>
    <row r="27" spans="3:26" ht="18.75" x14ac:dyDescent="0.3">
      <c r="C27" s="15" t="s">
        <v>126</v>
      </c>
      <c r="D27" s="36">
        <v>19</v>
      </c>
      <c r="E27" s="20" t="s">
        <v>60</v>
      </c>
      <c r="K27" s="7" t="s">
        <v>14</v>
      </c>
      <c r="L27">
        <v>0</v>
      </c>
    </row>
    <row r="28" spans="3:26" x14ac:dyDescent="0.25">
      <c r="C28" s="15" t="s">
        <v>127</v>
      </c>
      <c r="D28" s="36">
        <v>450</v>
      </c>
      <c r="E28" s="20" t="s">
        <v>299</v>
      </c>
      <c r="F28" s="11" t="str">
        <f>IF(D28&gt;L122,"Too high","")</f>
        <v>Too high</v>
      </c>
      <c r="N28" t="s">
        <v>31</v>
      </c>
      <c r="O28" s="3" t="s">
        <v>32</v>
      </c>
      <c r="P28" s="3" t="s">
        <v>33</v>
      </c>
      <c r="Q28" s="3" t="s">
        <v>34</v>
      </c>
      <c r="R28" s="3" t="s">
        <v>35</v>
      </c>
      <c r="S28" s="3" t="s">
        <v>36</v>
      </c>
      <c r="T28" s="3" t="s">
        <v>37</v>
      </c>
      <c r="U28" s="3" t="s">
        <v>38</v>
      </c>
      <c r="V28" s="3" t="s">
        <v>39</v>
      </c>
      <c r="W28" s="3" t="s">
        <v>40</v>
      </c>
      <c r="X28" s="3" t="s">
        <v>41</v>
      </c>
      <c r="Y28" s="3">
        <v>0</v>
      </c>
    </row>
    <row r="29" spans="3:26" x14ac:dyDescent="0.25">
      <c r="C29" s="15" t="s">
        <v>136</v>
      </c>
      <c r="D29" s="36">
        <v>0.95699999999999996</v>
      </c>
      <c r="E29" s="16" t="s">
        <v>45</v>
      </c>
      <c r="O29" t="s">
        <v>42</v>
      </c>
      <c r="P29" t="s">
        <v>43</v>
      </c>
      <c r="Q29" t="s">
        <v>43</v>
      </c>
      <c r="R29" s="3" t="s">
        <v>43</v>
      </c>
      <c r="S29" s="3" t="s">
        <v>44</v>
      </c>
      <c r="T29" s="3" t="s">
        <v>45</v>
      </c>
      <c r="U29" s="3" t="s">
        <v>46</v>
      </c>
      <c r="V29" s="3">
        <v>0</v>
      </c>
      <c r="W29" s="3"/>
    </row>
    <row r="30" spans="3:26" ht="15.75" thickBot="1" x14ac:dyDescent="0.3">
      <c r="C30" s="17" t="s">
        <v>137</v>
      </c>
      <c r="D30" s="37">
        <v>71.052000000000007</v>
      </c>
      <c r="E30" s="18" t="str">
        <f>E34</f>
        <v>[mbar]</v>
      </c>
      <c r="L30" t="s">
        <v>8</v>
      </c>
      <c r="M30">
        <v>1</v>
      </c>
      <c r="N30" t="s">
        <v>200</v>
      </c>
      <c r="O30">
        <v>28.96</v>
      </c>
      <c r="P30">
        <v>-200</v>
      </c>
      <c r="Q30" t="s">
        <v>18</v>
      </c>
      <c r="R30">
        <v>-141.65</v>
      </c>
      <c r="S30">
        <v>36.6</v>
      </c>
      <c r="U30">
        <v>1.2928999999999999</v>
      </c>
      <c r="V30" s="4">
        <v>150.30000000000001</v>
      </c>
      <c r="W30" s="4">
        <v>123.6</v>
      </c>
      <c r="X30">
        <v>1.4015</v>
      </c>
    </row>
    <row r="31" spans="3:26" x14ac:dyDescent="0.25">
      <c r="L31" s="3" t="s">
        <v>9</v>
      </c>
      <c r="M31" s="3">
        <v>2</v>
      </c>
      <c r="N31" t="s">
        <v>200</v>
      </c>
      <c r="R31" s="3"/>
      <c r="S31" s="3"/>
      <c r="T31" s="3"/>
      <c r="U31" s="3"/>
      <c r="V31" s="3"/>
      <c r="W31" s="3"/>
    </row>
    <row r="32" spans="3:26" x14ac:dyDescent="0.25">
      <c r="L32" t="s">
        <v>10</v>
      </c>
      <c r="M32">
        <v>3</v>
      </c>
      <c r="N32" t="s">
        <v>19</v>
      </c>
      <c r="O32">
        <v>17.030999999999999</v>
      </c>
      <c r="P32">
        <v>-77.72</v>
      </c>
      <c r="Q32">
        <v>-33.35</v>
      </c>
      <c r="R32">
        <v>132.30000000000001</v>
      </c>
      <c r="S32">
        <v>113</v>
      </c>
      <c r="T32">
        <v>0.25</v>
      </c>
      <c r="U32">
        <v>0.76900000000000002</v>
      </c>
      <c r="V32" s="4">
        <v>159.00622598048378</v>
      </c>
      <c r="W32" s="5">
        <v>513</v>
      </c>
      <c r="X32">
        <v>1.3030999999999999</v>
      </c>
    </row>
    <row r="33" spans="3:29" ht="15.75" thickBot="1" x14ac:dyDescent="0.3">
      <c r="C33" s="6" t="s">
        <v>141</v>
      </c>
      <c r="L33" t="s">
        <v>11</v>
      </c>
      <c r="M33">
        <v>4</v>
      </c>
      <c r="N33" t="s">
        <v>20</v>
      </c>
      <c r="O33">
        <v>39.948</v>
      </c>
      <c r="P33">
        <v>-189.3</v>
      </c>
      <c r="Q33">
        <v>-185.87</v>
      </c>
      <c r="R33">
        <v>-122.43</v>
      </c>
      <c r="S33">
        <v>48.74</v>
      </c>
      <c r="T33">
        <v>1E-4</v>
      </c>
      <c r="U33">
        <v>1.7838000000000001</v>
      </c>
      <c r="V33" s="4">
        <v>231.48</v>
      </c>
      <c r="W33" s="4">
        <v>228.26</v>
      </c>
      <c r="X33">
        <v>1.6855</v>
      </c>
    </row>
    <row r="34" spans="3:29" x14ac:dyDescent="0.25">
      <c r="C34" s="12" t="s">
        <v>105</v>
      </c>
      <c r="D34" s="21">
        <v>71.052000000000007</v>
      </c>
      <c r="E34" s="22" t="s">
        <v>109</v>
      </c>
      <c r="L34" t="s">
        <v>202</v>
      </c>
      <c r="M34">
        <v>5</v>
      </c>
      <c r="N34" t="s">
        <v>21</v>
      </c>
      <c r="O34">
        <v>58.12</v>
      </c>
      <c r="P34">
        <v>-159.4</v>
      </c>
      <c r="Q34">
        <v>-11.73</v>
      </c>
      <c r="R34">
        <v>134.97999999999999</v>
      </c>
      <c r="S34">
        <v>37.200000000000003</v>
      </c>
      <c r="T34">
        <v>0.183</v>
      </c>
      <c r="U34">
        <v>2.6970000000000001</v>
      </c>
      <c r="V34" s="4">
        <v>85.79</v>
      </c>
      <c r="W34" s="4">
        <v>299.02</v>
      </c>
      <c r="X34">
        <v>1.0713999999999999</v>
      </c>
    </row>
    <row r="35" spans="3:29" x14ac:dyDescent="0.25">
      <c r="C35" s="15" t="s">
        <v>128</v>
      </c>
      <c r="D35" s="23">
        <v>0.95699999999999996</v>
      </c>
      <c r="E35" s="16" t="s">
        <v>45</v>
      </c>
      <c r="L35" t="s">
        <v>12</v>
      </c>
      <c r="M35">
        <v>6</v>
      </c>
      <c r="N35" t="s">
        <v>22</v>
      </c>
      <c r="O35">
        <v>4.0026000000000002</v>
      </c>
      <c r="P35">
        <v>-271.14999999999998</v>
      </c>
      <c r="Q35">
        <v>-268.93400000000003</v>
      </c>
      <c r="R35">
        <v>-267.95</v>
      </c>
      <c r="S35">
        <v>2.2749999999999999</v>
      </c>
      <c r="T35">
        <v>-0.36499999999999999</v>
      </c>
      <c r="U35">
        <v>0.17849999999999999</v>
      </c>
      <c r="V35">
        <v>136</v>
      </c>
      <c r="W35">
        <v>55</v>
      </c>
      <c r="X35">
        <v>1.6674</v>
      </c>
    </row>
    <row r="36" spans="3:29" x14ac:dyDescent="0.25">
      <c r="C36" s="15" t="s">
        <v>132</v>
      </c>
      <c r="D36" s="24">
        <f>S22</f>
        <v>0.20941225440168168</v>
      </c>
      <c r="E36" s="16" t="str">
        <f>IF(D36=0,"unknown","")</f>
        <v/>
      </c>
      <c r="L36" t="s">
        <v>203</v>
      </c>
      <c r="M36">
        <v>7</v>
      </c>
      <c r="N36" t="s">
        <v>23</v>
      </c>
      <c r="O36">
        <v>44.01</v>
      </c>
      <c r="P36">
        <v>-56.56</v>
      </c>
      <c r="Q36">
        <v>-78.5</v>
      </c>
      <c r="R36">
        <v>31</v>
      </c>
      <c r="S36">
        <v>73.8</v>
      </c>
      <c r="T36">
        <v>0.23899999999999999</v>
      </c>
      <c r="U36">
        <v>1.9769000000000001</v>
      </c>
      <c r="V36" s="4">
        <v>165.5</v>
      </c>
      <c r="W36" s="4">
        <v>274</v>
      </c>
      <c r="X36">
        <v>1.2898000000000001</v>
      </c>
    </row>
    <row r="37" spans="3:29" ht="15.75" thickBot="1" x14ac:dyDescent="0.3">
      <c r="C37" s="90" t="str">
        <f>IF(L143&gt;20000,"DesignFlow is too high or wrong p&amp;T! Please select other Type or Diameter",IF(L143&lt;200,"DesignFlow is too low, please select other Type or diameter!",IF(L143&lt;500,"DesignFlow is low, reduced accuracy!","")))</f>
        <v>DesignFlow is too high or wrong p&amp;T! Please select other Type or Diameter</v>
      </c>
      <c r="D37" s="91"/>
      <c r="E37" s="92"/>
      <c r="L37" t="s">
        <v>204</v>
      </c>
      <c r="M37">
        <v>8</v>
      </c>
      <c r="N37" t="s">
        <v>24</v>
      </c>
      <c r="O37">
        <v>28.01</v>
      </c>
      <c r="P37">
        <v>-205.1</v>
      </c>
      <c r="Q37">
        <v>-191.5</v>
      </c>
      <c r="R37">
        <v>-140.19999999999999</v>
      </c>
      <c r="S37">
        <v>35</v>
      </c>
      <c r="T37">
        <v>6.6000000000000003E-2</v>
      </c>
      <c r="U37">
        <v>1.2504999999999999</v>
      </c>
      <c r="V37" s="4">
        <v>86.72</v>
      </c>
      <c r="W37" s="4">
        <v>131.74</v>
      </c>
      <c r="X37">
        <v>1.4008</v>
      </c>
    </row>
    <row r="38" spans="3:29" x14ac:dyDescent="0.25">
      <c r="C38" s="11"/>
      <c r="L38" t="s">
        <v>205</v>
      </c>
      <c r="M38">
        <v>9</v>
      </c>
      <c r="N38" t="s">
        <v>25</v>
      </c>
      <c r="O38">
        <v>16.0426</v>
      </c>
      <c r="P38">
        <v>-182.48</v>
      </c>
      <c r="Q38">
        <v>-161.49</v>
      </c>
      <c r="R38">
        <v>-82.1</v>
      </c>
      <c r="S38">
        <v>46.4</v>
      </c>
      <c r="T38">
        <v>1.0999999999999999E-2</v>
      </c>
      <c r="U38">
        <v>0.71799999999999997</v>
      </c>
      <c r="V38" s="4">
        <v>88.953000000000003</v>
      </c>
      <c r="W38" s="4">
        <v>125</v>
      </c>
      <c r="X38">
        <v>1.306</v>
      </c>
    </row>
    <row r="39" spans="3:29" ht="15.75" thickBot="1" x14ac:dyDescent="0.3">
      <c r="C39" s="6" t="s">
        <v>172</v>
      </c>
      <c r="G39" s="26"/>
      <c r="L39" t="s">
        <v>13</v>
      </c>
      <c r="M39">
        <v>10</v>
      </c>
      <c r="N39" t="s">
        <v>26</v>
      </c>
      <c r="O39">
        <v>20.179600000000001</v>
      </c>
      <c r="P39">
        <v>-248.61</v>
      </c>
      <c r="Q39">
        <v>-246</v>
      </c>
      <c r="R39">
        <v>-228.7</v>
      </c>
      <c r="S39">
        <v>27.3</v>
      </c>
      <c r="U39">
        <v>0.89990000000000003</v>
      </c>
      <c r="V39">
        <v>201</v>
      </c>
      <c r="W39">
        <v>35</v>
      </c>
      <c r="X39">
        <v>1.6677</v>
      </c>
    </row>
    <row r="40" spans="3:29" x14ac:dyDescent="0.25">
      <c r="C40" s="12" t="s">
        <v>195</v>
      </c>
      <c r="D40" s="86" t="s">
        <v>180</v>
      </c>
      <c r="E40" s="27" t="str">
        <f>VLOOKUP(D40,L171:M175,2,FALSE)</f>
        <v>IO</v>
      </c>
      <c r="F40" s="26"/>
      <c r="G40" s="26"/>
      <c r="L40" t="s">
        <v>206</v>
      </c>
      <c r="M40">
        <v>11</v>
      </c>
      <c r="N40" t="s">
        <v>27</v>
      </c>
      <c r="O40">
        <v>44.095999999999997</v>
      </c>
      <c r="P40">
        <v>-187.69</v>
      </c>
      <c r="Q40">
        <v>-42.04</v>
      </c>
      <c r="R40">
        <v>96.8</v>
      </c>
      <c r="S40">
        <v>42.5</v>
      </c>
      <c r="T40">
        <v>0.153</v>
      </c>
      <c r="U40">
        <v>2.0110000000000001</v>
      </c>
      <c r="V40">
        <v>107</v>
      </c>
      <c r="W40">
        <v>376</v>
      </c>
      <c r="X40">
        <v>1.1193</v>
      </c>
    </row>
    <row r="41" spans="3:29" x14ac:dyDescent="0.25">
      <c r="C41" s="15" t="s">
        <v>145</v>
      </c>
      <c r="D41" s="87" t="s">
        <v>186</v>
      </c>
      <c r="E41" s="28" t="str">
        <f>VLOOKUP(D41,L177:M178,2,FALSE)</f>
        <v>D1</v>
      </c>
      <c r="F41" s="26"/>
      <c r="L41" t="s">
        <v>207</v>
      </c>
      <c r="M41">
        <v>12</v>
      </c>
      <c r="N41" t="s">
        <v>28</v>
      </c>
      <c r="O41">
        <v>31.998799999999999</v>
      </c>
      <c r="P41">
        <v>-218.65</v>
      </c>
      <c r="Q41">
        <v>-182.96</v>
      </c>
      <c r="R41">
        <v>-118.57</v>
      </c>
      <c r="S41">
        <v>50.4</v>
      </c>
      <c r="U41">
        <v>1.429</v>
      </c>
      <c r="V41" s="4">
        <v>174.7</v>
      </c>
      <c r="W41" s="4">
        <v>138</v>
      </c>
      <c r="X41">
        <v>1.3692</v>
      </c>
    </row>
    <row r="42" spans="3:29" x14ac:dyDescent="0.25">
      <c r="C42" s="15" t="s">
        <v>146</v>
      </c>
      <c r="D42" s="87" t="s">
        <v>196</v>
      </c>
      <c r="E42" s="28" t="str">
        <f>VLOOKUP(D42,L180:M181,2,FALSE)</f>
        <v>DH</v>
      </c>
      <c r="L42" t="s">
        <v>208</v>
      </c>
      <c r="M42">
        <v>13</v>
      </c>
      <c r="N42" t="s">
        <v>29</v>
      </c>
      <c r="O42">
        <v>28.013000000000002</v>
      </c>
      <c r="P42">
        <v>-209.8</v>
      </c>
      <c r="Q42">
        <v>-195.81</v>
      </c>
      <c r="R42">
        <v>-146.85</v>
      </c>
      <c r="S42">
        <v>34</v>
      </c>
      <c r="T42">
        <v>3.9E-2</v>
      </c>
      <c r="U42">
        <v>1.2503</v>
      </c>
      <c r="V42" s="4">
        <v>137.80000000000001</v>
      </c>
      <c r="W42" s="4">
        <v>103</v>
      </c>
      <c r="X42">
        <v>1.421</v>
      </c>
    </row>
    <row r="43" spans="3:29" ht="15.75" thickBot="1" x14ac:dyDescent="0.3">
      <c r="C43" s="17" t="s">
        <v>198</v>
      </c>
      <c r="D43" s="88" t="s">
        <v>199</v>
      </c>
      <c r="E43" s="29" t="str">
        <f>VLOOKUP(D43,L183:M186,2,FALSE)</f>
        <v>-</v>
      </c>
      <c r="L43" t="s">
        <v>209</v>
      </c>
      <c r="M43">
        <v>14</v>
      </c>
      <c r="N43" t="s">
        <v>30</v>
      </c>
      <c r="R43">
        <v>-239.96</v>
      </c>
      <c r="S43">
        <v>13.15</v>
      </c>
      <c r="T43">
        <v>-0.216</v>
      </c>
      <c r="U43">
        <v>8.9899999999999994E-2</v>
      </c>
      <c r="V43" s="4">
        <v>73.569999999999993</v>
      </c>
      <c r="W43" s="4">
        <v>122</v>
      </c>
      <c r="X43">
        <v>1.4069</v>
      </c>
    </row>
    <row r="44" spans="3:29" ht="16.5" customHeight="1" x14ac:dyDescent="0.25">
      <c r="C44" t="s">
        <v>236</v>
      </c>
      <c r="D44" t="str">
        <f>D13&amp;"-"&amp;E40&amp;"-"&amp;E41&amp;"-"&amp;E42&amp;"-"&amp;E43</f>
        <v>P10-IO-D1-DH--</v>
      </c>
      <c r="K44" t="s">
        <v>63</v>
      </c>
      <c r="L44" t="str">
        <f>VLOOKUP($D23,$L30:$X43,1,FALSE)</f>
        <v>other gas</v>
      </c>
      <c r="M44">
        <f>VLOOKUP($D23,$L30:$X43,2,FALSE)</f>
        <v>2</v>
      </c>
      <c r="N44" t="str">
        <f>VLOOKUP(D23,L30:X44,3,FALSE)</f>
        <v>-</v>
      </c>
      <c r="O44">
        <f>VLOOKUP($D23,$L30:$X43,4,FALSE)</f>
        <v>0</v>
      </c>
      <c r="P44">
        <f>VLOOKUP($D23,$L30:$X43,5,FALSE)</f>
        <v>0</v>
      </c>
      <c r="Q44">
        <f>VLOOKUP($D23,$L30:$X43,6,FALSE)</f>
        <v>0</v>
      </c>
      <c r="R44">
        <f>VLOOKUP($D23,$L30:$X43,7,FALSE)</f>
        <v>0</v>
      </c>
      <c r="S44">
        <f>VLOOKUP($D23,$L30:$X43,8,FALSE)</f>
        <v>0</v>
      </c>
      <c r="T44">
        <f>VLOOKUP($D23,$L30:$X43,9,FALSE)</f>
        <v>0</v>
      </c>
      <c r="U44">
        <f>IF(D23&lt;&gt;"other gas",VLOOKUP($D23,$L30:$X43,10,FALSE),D24)</f>
        <v>12321</v>
      </c>
      <c r="V44">
        <f>VLOOKUP($D23,$L30:$X43,11,FALSE)</f>
        <v>0</v>
      </c>
      <c r="W44">
        <f>VLOOKUP($D23,$L30:$X43,12,FALSE)</f>
        <v>0</v>
      </c>
      <c r="X44">
        <f>VLOOKUP($D23,$L30:$X43,13,FALSE)</f>
        <v>0</v>
      </c>
      <c r="AC44" s="3"/>
    </row>
    <row r="45" spans="3:29" ht="16.5" customHeight="1" x14ac:dyDescent="0.25">
      <c r="K45" t="s">
        <v>72</v>
      </c>
      <c r="L45" t="s">
        <v>79</v>
      </c>
      <c r="O45">
        <f>U44*N57/101325*273.15/N66</f>
        <v>11369.062641208842</v>
      </c>
      <c r="P45" t="s">
        <v>81</v>
      </c>
      <c r="AC45" s="3"/>
    </row>
    <row r="46" spans="3:29" ht="16.5" customHeight="1" thickBot="1" x14ac:dyDescent="0.3">
      <c r="C46" s="6" t="s">
        <v>142</v>
      </c>
      <c r="L46" t="s">
        <v>80</v>
      </c>
      <c r="O46">
        <f>U44*L102/101325*273.15/L103</f>
        <v>194558.10510732789</v>
      </c>
      <c r="P46" t="s">
        <v>81</v>
      </c>
      <c r="AA46" s="3"/>
      <c r="AC46" s="3"/>
    </row>
    <row r="47" spans="3:29" ht="16.5" customHeight="1" x14ac:dyDescent="0.25">
      <c r="C47" s="12" t="s">
        <v>213</v>
      </c>
      <c r="D47" s="30" t="str">
        <f>L96</f>
        <v>[Nm3/h]@0°C/1013,25mbar</v>
      </c>
      <c r="E47" s="14"/>
      <c r="Z47" s="3"/>
      <c r="AA47" s="3"/>
      <c r="AB47" s="3"/>
    </row>
    <row r="48" spans="3:29" ht="16.5" customHeight="1" x14ac:dyDescent="0.3">
      <c r="C48" s="15" t="s">
        <v>214</v>
      </c>
      <c r="D48" s="33">
        <f>L122</f>
        <v>26.815766014967785</v>
      </c>
      <c r="E48" s="16"/>
      <c r="K48" s="7" t="s">
        <v>50</v>
      </c>
      <c r="R48" s="7" t="s">
        <v>96</v>
      </c>
      <c r="S48">
        <v>0</v>
      </c>
      <c r="Z48" s="3"/>
      <c r="AA48" s="3"/>
      <c r="AB48" s="3"/>
    </row>
    <row r="49" spans="3:28" ht="16.5" customHeight="1" x14ac:dyDescent="0.25">
      <c r="C49" s="15" t="s">
        <v>215</v>
      </c>
      <c r="D49" s="32" t="str">
        <f>E27</f>
        <v>[°C]</v>
      </c>
      <c r="E49" s="16"/>
      <c r="N49" t="s">
        <v>57</v>
      </c>
      <c r="U49" t="s">
        <v>57</v>
      </c>
      <c r="V49">
        <v>0</v>
      </c>
      <c r="Z49" s="3"/>
      <c r="AB49" s="3"/>
    </row>
    <row r="50" spans="3:28" ht="16.5" customHeight="1" x14ac:dyDescent="0.25">
      <c r="C50" s="15" t="s">
        <v>216</v>
      </c>
      <c r="D50" s="32" t="str">
        <f>E26</f>
        <v>[kPa]</v>
      </c>
      <c r="E50" s="16"/>
      <c r="L50" t="s">
        <v>52</v>
      </c>
      <c r="M50">
        <v>1</v>
      </c>
      <c r="N50">
        <v>100</v>
      </c>
      <c r="S50" t="s">
        <v>109</v>
      </c>
      <c r="T50">
        <v>1</v>
      </c>
      <c r="U50">
        <v>100</v>
      </c>
      <c r="X50" s="3"/>
    </row>
    <row r="51" spans="3:28" ht="16.5" customHeight="1" x14ac:dyDescent="0.25">
      <c r="C51" s="15" t="s">
        <v>217</v>
      </c>
      <c r="D51" s="32" t="str">
        <f>IF(M22=1,"Pitot",IF(M22&lt;8,"Venturi","PT1000/please check"))</f>
        <v>Pitot</v>
      </c>
      <c r="E51" s="16"/>
      <c r="L51" t="s">
        <v>53</v>
      </c>
      <c r="M51">
        <v>2</v>
      </c>
      <c r="N51">
        <v>100000</v>
      </c>
      <c r="S51" t="s">
        <v>110</v>
      </c>
      <c r="T51">
        <v>2</v>
      </c>
      <c r="U51">
        <v>100000</v>
      </c>
      <c r="X51" s="3"/>
    </row>
    <row r="52" spans="3:28" ht="16.5" customHeight="1" x14ac:dyDescent="0.25">
      <c r="C52" s="15" t="s">
        <v>218</v>
      </c>
      <c r="D52" s="32" t="str">
        <f>E34</f>
        <v>[mbar]</v>
      </c>
      <c r="E52" s="16"/>
      <c r="L52" t="s">
        <v>54</v>
      </c>
      <c r="M52">
        <v>3</v>
      </c>
      <c r="N52">
        <v>1000</v>
      </c>
      <c r="S52" t="s">
        <v>54</v>
      </c>
      <c r="T52">
        <v>3</v>
      </c>
      <c r="U52">
        <v>1000</v>
      </c>
      <c r="X52" s="3"/>
    </row>
    <row r="53" spans="3:28" ht="16.5" customHeight="1" x14ac:dyDescent="0.25">
      <c r="C53" s="15" t="s">
        <v>150</v>
      </c>
      <c r="D53" s="32" t="s">
        <v>248</v>
      </c>
      <c r="E53" s="16"/>
      <c r="L53" s="3" t="s">
        <v>55</v>
      </c>
      <c r="M53">
        <v>4</v>
      </c>
      <c r="N53">
        <v>100</v>
      </c>
      <c r="S53" s="3" t="s">
        <v>55</v>
      </c>
      <c r="T53">
        <v>4</v>
      </c>
      <c r="U53">
        <v>100</v>
      </c>
    </row>
    <row r="54" spans="3:28" ht="16.5" customHeight="1" x14ac:dyDescent="0.25">
      <c r="C54" s="15" t="s">
        <v>250</v>
      </c>
      <c r="D54" s="32" t="s">
        <v>244</v>
      </c>
      <c r="E54" s="16"/>
      <c r="L54" t="s">
        <v>56</v>
      </c>
      <c r="M54">
        <v>5</v>
      </c>
      <c r="N54">
        <v>6894.76</v>
      </c>
      <c r="S54" t="s">
        <v>56</v>
      </c>
      <c r="T54">
        <v>5</v>
      </c>
      <c r="U54">
        <v>6894.76</v>
      </c>
    </row>
    <row r="55" spans="3:28" ht="16.5" customHeight="1" x14ac:dyDescent="0.25">
      <c r="C55" s="15" t="s">
        <v>249</v>
      </c>
      <c r="D55" s="32" t="s">
        <v>244</v>
      </c>
      <c r="E55" s="16"/>
      <c r="L55" t="s">
        <v>58</v>
      </c>
      <c r="M55">
        <v>6</v>
      </c>
      <c r="N55">
        <v>133.322</v>
      </c>
      <c r="S55" t="s">
        <v>58</v>
      </c>
      <c r="T55">
        <v>6</v>
      </c>
      <c r="U55">
        <v>133.322</v>
      </c>
    </row>
    <row r="56" spans="3:28" ht="16.5" customHeight="1" x14ac:dyDescent="0.25">
      <c r="C56" s="15" t="s">
        <v>219</v>
      </c>
      <c r="D56" s="32" t="s">
        <v>220</v>
      </c>
      <c r="E56" s="16"/>
      <c r="K56" t="s">
        <v>63</v>
      </c>
      <c r="L56" t="str">
        <f>VLOOKUP($E26,$L50:$N55,1,FALSE)</f>
        <v>[kPa]</v>
      </c>
      <c r="M56">
        <f>VLOOKUP($E26,$L50:$N55,2,FALSE)</f>
        <v>3</v>
      </c>
      <c r="N56">
        <f>VLOOKUP($E26,$L50:$N55,3,FALSE)</f>
        <v>1000</v>
      </c>
      <c r="R56" t="s">
        <v>63</v>
      </c>
      <c r="S56" t="str">
        <f>VLOOKUP($E34,$S50:$U55,1,FALSE)</f>
        <v>[mbar]</v>
      </c>
      <c r="T56">
        <f>VLOOKUP($E34,$S50:$U55,2,FALSE)</f>
        <v>1</v>
      </c>
      <c r="U56">
        <f>VLOOKUP($E34,$S50:$U55,3,FALSE)</f>
        <v>100</v>
      </c>
    </row>
    <row r="57" spans="3:28" ht="16.5" customHeight="1" x14ac:dyDescent="0.25">
      <c r="C57" s="15" t="s">
        <v>221</v>
      </c>
      <c r="D57" s="32" t="s">
        <v>245</v>
      </c>
      <c r="E57" s="16"/>
      <c r="K57" t="s">
        <v>72</v>
      </c>
      <c r="L57" t="s">
        <v>74</v>
      </c>
      <c r="N57">
        <f>D26*N56</f>
        <v>100000</v>
      </c>
      <c r="O57" t="s">
        <v>75</v>
      </c>
      <c r="R57" t="s">
        <v>72</v>
      </c>
      <c r="S57" t="s">
        <v>97</v>
      </c>
      <c r="U57">
        <f>D30*U56</f>
        <v>7105.2000000000007</v>
      </c>
      <c r="V57" t="s">
        <v>75</v>
      </c>
      <c r="W57">
        <v>0</v>
      </c>
    </row>
    <row r="58" spans="3:28" ht="16.5" customHeight="1" x14ac:dyDescent="0.25">
      <c r="C58" s="15" t="s">
        <v>222</v>
      </c>
      <c r="D58" s="32" t="s">
        <v>246</v>
      </c>
      <c r="E58" s="16"/>
    </row>
    <row r="59" spans="3:28" ht="16.5" customHeight="1" x14ac:dyDescent="0.25">
      <c r="C59" s="15" t="s">
        <v>251</v>
      </c>
      <c r="D59" s="32" t="s">
        <v>237</v>
      </c>
      <c r="E59" s="16"/>
    </row>
    <row r="60" spans="3:28" ht="16.5" customHeight="1" x14ac:dyDescent="0.3">
      <c r="C60" s="15" t="s">
        <v>70</v>
      </c>
      <c r="D60" s="34">
        <f>L134</f>
        <v>2001.4916237567902</v>
      </c>
      <c r="E60" s="16"/>
      <c r="K60" s="7" t="s">
        <v>59</v>
      </c>
      <c r="L60">
        <v>0</v>
      </c>
    </row>
    <row r="61" spans="3:28" ht="16.5" customHeight="1" thickBot="1" x14ac:dyDescent="0.3">
      <c r="C61" s="17" t="s">
        <v>102</v>
      </c>
      <c r="D61" s="31">
        <f>K125</f>
        <v>314042.86550305795</v>
      </c>
      <c r="E61" s="18"/>
      <c r="L61" t="s">
        <v>60</v>
      </c>
      <c r="M61">
        <v>1</v>
      </c>
      <c r="N61">
        <v>0</v>
      </c>
      <c r="O61">
        <v>1</v>
      </c>
    </row>
    <row r="62" spans="3:28" ht="16.5" customHeight="1" x14ac:dyDescent="0.25">
      <c r="L62" t="s">
        <v>61</v>
      </c>
      <c r="M62">
        <v>2</v>
      </c>
      <c r="N62">
        <v>-273.14999999999998</v>
      </c>
      <c r="O62">
        <v>1</v>
      </c>
    </row>
    <row r="63" spans="3:28" ht="16.5" customHeight="1" x14ac:dyDescent="0.25">
      <c r="L63" t="s">
        <v>62</v>
      </c>
      <c r="M63">
        <v>3</v>
      </c>
      <c r="N63">
        <v>-32</v>
      </c>
      <c r="O63">
        <f>5/9</f>
        <v>0.55555555555555558</v>
      </c>
    </row>
    <row r="64" spans="3:28" ht="16.5" customHeight="1" x14ac:dyDescent="0.25">
      <c r="K64" t="s">
        <v>63</v>
      </c>
      <c r="L64" t="str">
        <f>VLOOKUP($E27,$L61:$O63,1,FALSE)</f>
        <v>[°C]</v>
      </c>
      <c r="M64">
        <f>VLOOKUP($E27,$L61:$O63,2,FALSE)</f>
        <v>1</v>
      </c>
      <c r="N64">
        <f>VLOOKUP($E27,$L61:$O63,3,FALSE)</f>
        <v>0</v>
      </c>
      <c r="O64">
        <f>VLOOKUP($E27,$L61:$O63,4,FALSE)</f>
        <v>1</v>
      </c>
    </row>
    <row r="65" spans="11:16" ht="16.5" customHeight="1" x14ac:dyDescent="0.25">
      <c r="K65" t="s">
        <v>72</v>
      </c>
      <c r="L65" t="s">
        <v>77</v>
      </c>
      <c r="N65">
        <f>(D27+N64)*O64</f>
        <v>19</v>
      </c>
      <c r="O65" t="s">
        <v>43</v>
      </c>
    </row>
    <row r="66" spans="11:16" ht="16.5" customHeight="1" x14ac:dyDescent="0.25">
      <c r="L66" t="s">
        <v>76</v>
      </c>
      <c r="N66">
        <f>N65+273.15</f>
        <v>292.14999999999998</v>
      </c>
      <c r="O66" t="s">
        <v>78</v>
      </c>
    </row>
    <row r="67" spans="11:16" ht="16.5" customHeight="1" x14ac:dyDescent="0.25"/>
    <row r="68" spans="11:16" ht="18.75" x14ac:dyDescent="0.3">
      <c r="K68" s="7" t="s">
        <v>73</v>
      </c>
      <c r="M68" t="s">
        <v>17</v>
      </c>
      <c r="N68" t="s">
        <v>292</v>
      </c>
      <c r="O68" t="s">
        <v>293</v>
      </c>
      <c r="P68">
        <v>0</v>
      </c>
    </row>
    <row r="69" spans="11:16" x14ac:dyDescent="0.25">
      <c r="L69" t="s">
        <v>296</v>
      </c>
      <c r="M69">
        <v>1</v>
      </c>
      <c r="N69">
        <v>1</v>
      </c>
      <c r="O69">
        <v>1</v>
      </c>
    </row>
    <row r="70" spans="11:16" x14ac:dyDescent="0.25">
      <c r="L70" t="s">
        <v>66</v>
      </c>
      <c r="M70">
        <v>2</v>
      </c>
      <c r="N70">
        <f>1/60</f>
        <v>1.6666666666666666E-2</v>
      </c>
      <c r="O70">
        <v>1</v>
      </c>
    </row>
    <row r="71" spans="11:16" x14ac:dyDescent="0.25">
      <c r="L71" t="s">
        <v>65</v>
      </c>
      <c r="M71">
        <v>3</v>
      </c>
      <c r="N71">
        <f>1/3600</f>
        <v>2.7777777777777778E-4</v>
      </c>
      <c r="O71">
        <v>1</v>
      </c>
    </row>
    <row r="72" spans="11:16" x14ac:dyDescent="0.25">
      <c r="L72" t="s">
        <v>223</v>
      </c>
      <c r="M72">
        <v>4</v>
      </c>
      <c r="N72">
        <v>1000</v>
      </c>
      <c r="O72">
        <v>1</v>
      </c>
    </row>
    <row r="73" spans="11:16" x14ac:dyDescent="0.25">
      <c r="L73" t="s">
        <v>224</v>
      </c>
      <c r="M73">
        <v>5</v>
      </c>
      <c r="N73">
        <f>N72/60</f>
        <v>16.666666666666668</v>
      </c>
      <c r="O73">
        <v>1</v>
      </c>
    </row>
    <row r="74" spans="11:16" x14ac:dyDescent="0.25">
      <c r="L74" t="s">
        <v>225</v>
      </c>
      <c r="M74">
        <v>6</v>
      </c>
      <c r="N74">
        <f>N73/60</f>
        <v>0.27777777777777779</v>
      </c>
      <c r="O74">
        <v>1</v>
      </c>
    </row>
    <row r="75" spans="11:16" x14ac:dyDescent="0.25">
      <c r="L75" t="s">
        <v>226</v>
      </c>
      <c r="M75">
        <v>7</v>
      </c>
      <c r="N75">
        <v>1E-3</v>
      </c>
      <c r="O75">
        <v>1</v>
      </c>
    </row>
    <row r="76" spans="11:16" x14ac:dyDescent="0.25">
      <c r="L76" t="s">
        <v>227</v>
      </c>
      <c r="M76">
        <v>8</v>
      </c>
      <c r="N76">
        <f>N75/60</f>
        <v>1.6666666666666667E-5</v>
      </c>
      <c r="O76">
        <v>1</v>
      </c>
    </row>
    <row r="77" spans="11:16" x14ac:dyDescent="0.25">
      <c r="L77" t="s">
        <v>228</v>
      </c>
      <c r="M77">
        <v>9</v>
      </c>
      <c r="N77">
        <f>N76/60</f>
        <v>2.7777777777777781E-7</v>
      </c>
      <c r="O77">
        <v>1</v>
      </c>
    </row>
    <row r="78" spans="11:16" x14ac:dyDescent="0.25">
      <c r="L78" t="s">
        <v>297</v>
      </c>
      <c r="M78">
        <v>10</v>
      </c>
      <c r="N78">
        <v>1</v>
      </c>
      <c r="O78">
        <v>1</v>
      </c>
    </row>
    <row r="79" spans="11:16" x14ac:dyDescent="0.25">
      <c r="L79" t="s">
        <v>298</v>
      </c>
      <c r="M79">
        <v>11</v>
      </c>
      <c r="N79">
        <f>1/60</f>
        <v>1.6666666666666666E-2</v>
      </c>
      <c r="O79">
        <v>1</v>
      </c>
    </row>
    <row r="80" spans="11:16" x14ac:dyDescent="0.25">
      <c r="L80" t="s">
        <v>299</v>
      </c>
      <c r="M80">
        <v>12</v>
      </c>
      <c r="N80">
        <f>1/3600</f>
        <v>2.7777777777777778E-4</v>
      </c>
      <c r="O80">
        <v>1</v>
      </c>
    </row>
    <row r="81" spans="11:15" x14ac:dyDescent="0.25">
      <c r="L81" t="s">
        <v>300</v>
      </c>
      <c r="M81">
        <v>13</v>
      </c>
      <c r="N81">
        <f>N78/1000</f>
        <v>1E-3</v>
      </c>
      <c r="O81">
        <v>1</v>
      </c>
    </row>
    <row r="82" spans="11:15" x14ac:dyDescent="0.25">
      <c r="L82" t="s">
        <v>301</v>
      </c>
      <c r="M82">
        <v>14</v>
      </c>
      <c r="N82">
        <f t="shared" ref="N82:N83" si="2">N79/1000</f>
        <v>1.6666666666666667E-5</v>
      </c>
      <c r="O82">
        <v>1</v>
      </c>
    </row>
    <row r="83" spans="11:15" x14ac:dyDescent="0.25">
      <c r="L83" t="s">
        <v>302</v>
      </c>
      <c r="M83">
        <v>15</v>
      </c>
      <c r="N83">
        <f t="shared" si="2"/>
        <v>2.7777777777777776E-7</v>
      </c>
      <c r="O83">
        <v>1</v>
      </c>
    </row>
    <row r="84" spans="11:15" x14ac:dyDescent="0.25">
      <c r="L84" t="s">
        <v>303</v>
      </c>
      <c r="M84">
        <v>16</v>
      </c>
      <c r="N84">
        <v>2.83168E-2</v>
      </c>
      <c r="O84">
        <v>2</v>
      </c>
    </row>
    <row r="85" spans="11:15" x14ac:dyDescent="0.25">
      <c r="L85" t="s">
        <v>304</v>
      </c>
      <c r="M85">
        <v>17</v>
      </c>
      <c r="N85">
        <f>N84/60</f>
        <v>4.7194666666666664E-4</v>
      </c>
      <c r="O85">
        <v>2</v>
      </c>
    </row>
    <row r="86" spans="11:15" x14ac:dyDescent="0.25">
      <c r="L86" t="s">
        <v>305</v>
      </c>
      <c r="M86">
        <v>18</v>
      </c>
      <c r="N86">
        <f>N85/60</f>
        <v>7.8657777777777773E-6</v>
      </c>
      <c r="O86">
        <v>2</v>
      </c>
    </row>
    <row r="87" spans="11:15" x14ac:dyDescent="0.25">
      <c r="L87" t="s">
        <v>306</v>
      </c>
      <c r="M87">
        <v>19</v>
      </c>
      <c r="N87" s="43">
        <f>1/1000</f>
        <v>1E-3</v>
      </c>
      <c r="O87">
        <v>2</v>
      </c>
    </row>
    <row r="88" spans="11:15" x14ac:dyDescent="0.25">
      <c r="L88" t="s">
        <v>307</v>
      </c>
      <c r="M88">
        <v>20</v>
      </c>
      <c r="N88">
        <f>1/60000</f>
        <v>1.6666666666666667E-5</v>
      </c>
      <c r="O88">
        <v>2</v>
      </c>
    </row>
    <row r="89" spans="11:15" x14ac:dyDescent="0.25">
      <c r="L89" t="s">
        <v>308</v>
      </c>
      <c r="M89">
        <v>21</v>
      </c>
      <c r="N89">
        <f>1/3600000</f>
        <v>2.7777777777777776E-7</v>
      </c>
      <c r="O89">
        <v>2</v>
      </c>
    </row>
    <row r="90" spans="11:15" x14ac:dyDescent="0.25">
      <c r="L90" t="s">
        <v>309</v>
      </c>
      <c r="M90">
        <v>22</v>
      </c>
      <c r="N90">
        <v>1</v>
      </c>
      <c r="O90">
        <v>2</v>
      </c>
    </row>
    <row r="91" spans="11:15" x14ac:dyDescent="0.25">
      <c r="L91" t="s">
        <v>310</v>
      </c>
      <c r="M91">
        <v>23</v>
      </c>
      <c r="N91">
        <f>1/60</f>
        <v>1.6666666666666666E-2</v>
      </c>
      <c r="O91">
        <v>2</v>
      </c>
    </row>
    <row r="92" spans="11:15" x14ac:dyDescent="0.25">
      <c r="L92" t="s">
        <v>311</v>
      </c>
      <c r="M92">
        <v>24</v>
      </c>
      <c r="N92">
        <f>1/3600</f>
        <v>2.7777777777777778E-4</v>
      </c>
      <c r="O92">
        <v>2</v>
      </c>
    </row>
    <row r="96" spans="11:15" x14ac:dyDescent="0.25">
      <c r="K96" t="s">
        <v>63</v>
      </c>
      <c r="L96" t="str">
        <f>VLOOKUP($E28,$L69:$N92,1,FALSE)</f>
        <v>[Nm3/h]@0°C/1013,25mbar</v>
      </c>
      <c r="M96">
        <f>VLOOKUP($E28,$L69:$N92,2,FALSE)</f>
        <v>12</v>
      </c>
      <c r="N96">
        <f>VLOOKUP($E28,$L69:$N92,3,FALSE)</f>
        <v>2.7777777777777778E-4</v>
      </c>
      <c r="O96">
        <f>VLOOKUP($E28,$L69:$O92,4,FALSE)</f>
        <v>1</v>
      </c>
    </row>
    <row r="97" spans="11:25" x14ac:dyDescent="0.25">
      <c r="K97" t="s">
        <v>72</v>
      </c>
      <c r="L97" t="s">
        <v>73</v>
      </c>
      <c r="M97">
        <f>IF(M96&lt;10,D28*N96,IF(M96&lt;16,D28*N96*U44,D28*O45*N96))</f>
        <v>1540.125</v>
      </c>
      <c r="N97" t="s">
        <v>64</v>
      </c>
    </row>
    <row r="98" spans="11:25" x14ac:dyDescent="0.25">
      <c r="M98">
        <v>4</v>
      </c>
    </row>
    <row r="100" spans="11:25" ht="18.75" x14ac:dyDescent="0.3">
      <c r="K100" s="7" t="s">
        <v>82</v>
      </c>
      <c r="L100" t="str">
        <f>IF(O$96=1,P100,N100)</f>
        <v>Massflow (1)</v>
      </c>
      <c r="N100" t="s">
        <v>295</v>
      </c>
      <c r="P100" t="s">
        <v>294</v>
      </c>
    </row>
    <row r="101" spans="11:25" x14ac:dyDescent="0.25">
      <c r="K101" t="s">
        <v>83</v>
      </c>
      <c r="L101">
        <f t="shared" ref="L101:L105" si="3">IF(O$96=1,P101,N101)</f>
        <v>20000</v>
      </c>
      <c r="M101" t="s">
        <v>75</v>
      </c>
      <c r="N101">
        <v>20000</v>
      </c>
      <c r="O101" t="s">
        <v>75</v>
      </c>
      <c r="P101">
        <v>20000</v>
      </c>
    </row>
    <row r="102" spans="11:25" x14ac:dyDescent="0.25">
      <c r="K102" t="s">
        <v>84</v>
      </c>
      <c r="L102">
        <f t="shared" si="3"/>
        <v>1600000</v>
      </c>
      <c r="M102" t="s">
        <v>75</v>
      </c>
      <c r="N102">
        <v>100000</v>
      </c>
      <c r="O102" t="s">
        <v>75</v>
      </c>
      <c r="P102">
        <v>1600000</v>
      </c>
    </row>
    <row r="103" spans="11:25" x14ac:dyDescent="0.25">
      <c r="K103" t="s">
        <v>85</v>
      </c>
      <c r="L103">
        <f t="shared" si="3"/>
        <v>273.14999999999998</v>
      </c>
      <c r="M103" t="s">
        <v>78</v>
      </c>
      <c r="N103">
        <v>273.14999999999998</v>
      </c>
      <c r="O103" t="s">
        <v>78</v>
      </c>
      <c r="P103">
        <v>273.14999999999998</v>
      </c>
    </row>
    <row r="104" spans="11:25" x14ac:dyDescent="0.25">
      <c r="K104" t="s">
        <v>70</v>
      </c>
      <c r="L104">
        <f t="shared" si="3"/>
        <v>0</v>
      </c>
      <c r="M104" t="s">
        <v>45</v>
      </c>
      <c r="N104">
        <v>0</v>
      </c>
      <c r="O104" t="s">
        <v>45</v>
      </c>
      <c r="P104">
        <v>0</v>
      </c>
    </row>
    <row r="105" spans="11:25" x14ac:dyDescent="0.25">
      <c r="K105" t="s">
        <v>291</v>
      </c>
      <c r="L105">
        <f t="shared" si="3"/>
        <v>18714</v>
      </c>
      <c r="M105" t="s">
        <v>45</v>
      </c>
      <c r="N105">
        <v>11249</v>
      </c>
      <c r="O105" t="s">
        <v>45</v>
      </c>
      <c r="P105">
        <v>18714</v>
      </c>
    </row>
    <row r="108" spans="11:25" ht="18.75" x14ac:dyDescent="0.3">
      <c r="K108" s="7" t="s">
        <v>86</v>
      </c>
      <c r="V108" t="s">
        <v>89</v>
      </c>
      <c r="W108" t="s">
        <v>111</v>
      </c>
      <c r="X108" t="s">
        <v>112</v>
      </c>
      <c r="Y108" t="s">
        <v>131</v>
      </c>
    </row>
    <row r="109" spans="11:25" x14ac:dyDescent="0.25">
      <c r="K109" t="s">
        <v>1</v>
      </c>
      <c r="M109" t="s">
        <v>87</v>
      </c>
      <c r="N109">
        <f>IF(D15&lt;30,(24*15)/(D15^2*PI()/4),((30*12)+(D15-30)*15)/(D15^2*PI()/4))</f>
        <v>0.33613523981008298</v>
      </c>
      <c r="O109" t="s">
        <v>88</v>
      </c>
      <c r="P109" s="89">
        <f>7.4939*N109^4 - 6.262*N109^3 + 0.6605*N109^2 - 0.1878*N109 + 0.6605</f>
        <v>0.52984533463259775</v>
      </c>
      <c r="Q109" t="s">
        <v>68</v>
      </c>
      <c r="R109">
        <f>1/P109^2</f>
        <v>3.562064430311755</v>
      </c>
      <c r="S109" t="s">
        <v>70</v>
      </c>
      <c r="T109">
        <f>IF(U109&gt;0,U109,2000-U109)</f>
        <v>2001.4916237567902</v>
      </c>
      <c r="U109">
        <f>1141.5*N109 - 385.19</f>
        <v>-1.4916237567902613</v>
      </c>
      <c r="V109">
        <f>1-U109*(L101/L102)*16000/4096^2</f>
        <v>1.0000177815408324</v>
      </c>
      <c r="W109">
        <f>M97^2*R109*8/PI()^2/(D15/1000)^4/O45</f>
        <v>96382741.849014744</v>
      </c>
      <c r="X109">
        <f>1-U109*(W109/N57)*16000/4096^2</f>
        <v>2.3710669277818042</v>
      </c>
    </row>
    <row r="110" spans="11:25" x14ac:dyDescent="0.25">
      <c r="K110" t="s">
        <v>90</v>
      </c>
      <c r="O110" t="s">
        <v>88</v>
      </c>
      <c r="P110" s="89">
        <f>1/D17^0.5</f>
        <v>0.59365426937284804</v>
      </c>
      <c r="Q110" t="s">
        <v>68</v>
      </c>
      <c r="R110">
        <f>D17</f>
        <v>2.8374799999999998</v>
      </c>
      <c r="S110" t="s">
        <v>70</v>
      </c>
      <c r="T110">
        <f>(1-D29)*N57/U57*4096^2/16000</f>
        <v>634.58830152564371</v>
      </c>
      <c r="V110">
        <f>1-T110*(L101/L102)*16000/4096^2</f>
        <v>0.99243511794178907</v>
      </c>
      <c r="W110">
        <f>D$30*1000*D$29^2</f>
        <v>65072.90314799999</v>
      </c>
      <c r="X110">
        <f>D29</f>
        <v>0.95699999999999996</v>
      </c>
    </row>
    <row r="111" spans="11:25" x14ac:dyDescent="0.25">
      <c r="K111" t="s">
        <v>91</v>
      </c>
      <c r="S111" t="s">
        <v>70</v>
      </c>
      <c r="T111">
        <f>(1-D29)*N57/U57*4096^2/16000</f>
        <v>634.58830152564371</v>
      </c>
      <c r="V111">
        <f>1-T111*(L101/L102)*16000/4096^2</f>
        <v>0.99243511794178907</v>
      </c>
      <c r="W111">
        <f>D$30*1000*D$29^2</f>
        <v>65072.90314799999</v>
      </c>
      <c r="X111">
        <f>D29</f>
        <v>0.95699999999999996</v>
      </c>
    </row>
    <row r="112" spans="11:25" x14ac:dyDescent="0.25">
      <c r="K112" t="s">
        <v>92</v>
      </c>
      <c r="S112" t="s">
        <v>70</v>
      </c>
      <c r="T112">
        <f>R22</f>
        <v>0</v>
      </c>
      <c r="V112">
        <f>1-T112*(L101/L102)*16000/4096^2</f>
        <v>1</v>
      </c>
      <c r="W112" t="e">
        <f>M97^2*(1-P22^4)*8/Q22^2/PI()^2/(O22/1000)^4/O45</f>
        <v>#DIV/0!</v>
      </c>
      <c r="X112" t="e">
        <f>1-T112*(W112/N57)*16000/4096^2</f>
        <v>#DIV/0!</v>
      </c>
    </row>
    <row r="115" spans="11:15" ht="18.75" x14ac:dyDescent="0.3">
      <c r="K115" s="7" t="s">
        <v>99</v>
      </c>
      <c r="L115" t="s">
        <v>290</v>
      </c>
    </row>
    <row r="116" spans="11:15" x14ac:dyDescent="0.25">
      <c r="N116" t="s">
        <v>98</v>
      </c>
    </row>
    <row r="117" spans="11:15" x14ac:dyDescent="0.25">
      <c r="K117" t="s">
        <v>1</v>
      </c>
      <c r="L117">
        <f>1/R109^0.5*PI()*(D15/1000)^2/4*1*(2*L101*O46)^0.5</f>
        <v>91.776959186227245</v>
      </c>
      <c r="M117" t="s">
        <v>93</v>
      </c>
      <c r="N117">
        <f>IF(M$96&lt;10,L117/N$96,IF(M$96&lt;16,L117/N$96/U$44,L117/N$96/O46))</f>
        <v>26.815766014967785</v>
      </c>
      <c r="O117" t="str">
        <f>L$96</f>
        <v>[Nm3/h]@0°C/1013,25mbar</v>
      </c>
    </row>
    <row r="118" spans="11:15" x14ac:dyDescent="0.25">
      <c r="K118" t="s">
        <v>94</v>
      </c>
      <c r="L118">
        <f>1/R110^0.5*PI()*(D15/1000)^2/4*1*(2*L101*O46)^0.5</f>
        <v>102.82959967693451</v>
      </c>
      <c r="M118" t="s">
        <v>93</v>
      </c>
      <c r="N118">
        <f>IF(M$96&lt;10,L118/N$96,IF(M$96&lt;16,L118/N$96/U$44,L118/N$96/O46))</f>
        <v>30.045171563750042</v>
      </c>
      <c r="O118" t="str">
        <f t="shared" ref="O118:O120" si="4">L$96</f>
        <v>[Nm3/h]@0°C/1013,25mbar</v>
      </c>
    </row>
    <row r="119" spans="11:15" x14ac:dyDescent="0.25">
      <c r="K119" t="s">
        <v>95</v>
      </c>
      <c r="L119">
        <f>D18/(1-(D16/D15)^4)*PI()*(D16/1000)^2/4*1*(2*L101*O46)^0.5</f>
        <v>35.624094930168468</v>
      </c>
      <c r="M119" t="s">
        <v>93</v>
      </c>
      <c r="N119">
        <f>IF(M$96&lt;10,L119/N$96,IF(M$96&lt;16,L119/N$96/U$44,L119/N$96/O46))</f>
        <v>10.408793259362591</v>
      </c>
      <c r="O119" t="str">
        <f t="shared" si="4"/>
        <v>[Nm3/h]@0°C/1013,25mbar</v>
      </c>
    </row>
    <row r="120" spans="11:15" x14ac:dyDescent="0.25">
      <c r="K120" t="s">
        <v>92</v>
      </c>
      <c r="L120">
        <f>Q22/(1-P22^4)^0.5*PI()*(O22/1000)^2/4*1*(2*L101*O46)^0.5</f>
        <v>0</v>
      </c>
      <c r="M120" t="s">
        <v>93</v>
      </c>
      <c r="N120">
        <f>IF(M$96&lt;10,L120/N$96,IF(M$96&lt;16,L120/N$96/U$44,L120/N$96/O46))</f>
        <v>0</v>
      </c>
      <c r="O120" t="str">
        <f t="shared" si="4"/>
        <v>[Nm3/h]@0°C/1013,25mbar</v>
      </c>
    </row>
    <row r="122" spans="11:15" x14ac:dyDescent="0.25">
      <c r="K122" t="s">
        <v>100</v>
      </c>
      <c r="L122">
        <f>IF(M22=1,N117*D20,IF(M22=8,N118,IF(M22=9,N119*D20,N120*D20)))</f>
        <v>26.815766014967785</v>
      </c>
      <c r="M122" t="str">
        <f>L96</f>
        <v>[Nm3/h]@0°C/1013,25mbar</v>
      </c>
    </row>
    <row r="124" spans="11:15" ht="18.75" x14ac:dyDescent="0.3">
      <c r="K124" s="7" t="s">
        <v>101</v>
      </c>
      <c r="L124">
        <f>1/R109^0.5*PI()*(D15/1000)^2/4/N$96</f>
        <v>3.7452559743463389</v>
      </c>
      <c r="M124" t="s">
        <v>312</v>
      </c>
    </row>
    <row r="125" spans="11:15" x14ac:dyDescent="0.25">
      <c r="K125">
        <f>L105*D28/D48</f>
        <v>314042.86550305795</v>
      </c>
    </row>
    <row r="127" spans="11:15" ht="18.75" x14ac:dyDescent="0.3">
      <c r="K127" s="7" t="s">
        <v>103</v>
      </c>
    </row>
    <row r="129" spans="11:15" x14ac:dyDescent="0.25">
      <c r="K129" t="s">
        <v>1</v>
      </c>
      <c r="L129">
        <f>T109</f>
        <v>2001.4916237567902</v>
      </c>
    </row>
    <row r="130" spans="11:15" x14ac:dyDescent="0.25">
      <c r="K130" t="s">
        <v>94</v>
      </c>
      <c r="L130">
        <f>(1-D$29)*N$57*4096^2/16000/U$57</f>
        <v>634.5883015256436</v>
      </c>
    </row>
    <row r="131" spans="11:15" x14ac:dyDescent="0.25">
      <c r="K131" t="s">
        <v>95</v>
      </c>
      <c r="L131">
        <f>(1-D$29)*N$57*4096^2/16000/U$57</f>
        <v>634.5883015256436</v>
      </c>
    </row>
    <row r="132" spans="11:15" x14ac:dyDescent="0.25">
      <c r="K132" t="s">
        <v>92</v>
      </c>
      <c r="L132">
        <f>(1-V$112)*L$102*4096^2/16000/L$101</f>
        <v>0</v>
      </c>
    </row>
    <row r="134" spans="11:15" x14ac:dyDescent="0.25">
      <c r="K134" t="s">
        <v>70</v>
      </c>
      <c r="L134">
        <f>IF(M22=1,L129,IF(M22=8,L130,IF(M22=9,L131,L132)))</f>
        <v>2001.4916237567902</v>
      </c>
    </row>
    <row r="136" spans="11:15" ht="18.75" x14ac:dyDescent="0.3">
      <c r="K136" s="7" t="s">
        <v>106</v>
      </c>
    </row>
    <row r="137" spans="11:15" x14ac:dyDescent="0.25">
      <c r="L137" t="s">
        <v>107</v>
      </c>
      <c r="M137" t="s">
        <v>108</v>
      </c>
      <c r="O137" t="s">
        <v>113</v>
      </c>
    </row>
    <row r="138" spans="11:15" x14ac:dyDescent="0.25">
      <c r="K138" t="s">
        <v>1</v>
      </c>
      <c r="L138">
        <f>M97^2*R109*8/PI()^2/(D15/1000)^4/O45/D20^2/X109^2</f>
        <v>17143979.980377719</v>
      </c>
      <c r="M138">
        <f>L138/U$56</f>
        <v>171439.79980377719</v>
      </c>
      <c r="N138" t="str">
        <f>E30</f>
        <v>[mbar]</v>
      </c>
      <c r="O138">
        <f>X109</f>
        <v>2.3710669277818042</v>
      </c>
    </row>
    <row r="139" spans="11:15" x14ac:dyDescent="0.25">
      <c r="K139" t="s">
        <v>90</v>
      </c>
      <c r="L139">
        <f>M97^2*R110*8/PI()^2/(D15/1000)^4/O45/D20^2/X110^2</f>
        <v>83831346.062062666</v>
      </c>
      <c r="M139">
        <f>L139/U$56</f>
        <v>838313.46062062669</v>
      </c>
      <c r="N139" t="str">
        <f>N138</f>
        <v>[mbar]</v>
      </c>
      <c r="O139">
        <f>X110</f>
        <v>0.95699999999999996</v>
      </c>
    </row>
    <row r="140" spans="11:15" x14ac:dyDescent="0.25">
      <c r="K140" t="s">
        <v>91</v>
      </c>
      <c r="L140">
        <f>M97^2*(1-(D16/D15)^4)*8/D18^2/PI()^2/(D16/1000)^4/D20^2/O45/X111^2</f>
        <v>728348573.71329856</v>
      </c>
      <c r="M140">
        <f>L140/U$56</f>
        <v>7283485.7371329851</v>
      </c>
      <c r="N140" t="str">
        <f>N139</f>
        <v>[mbar]</v>
      </c>
      <c r="O140">
        <f>X111</f>
        <v>0.95699999999999996</v>
      </c>
    </row>
    <row r="141" spans="11:15" x14ac:dyDescent="0.25">
      <c r="K141" t="s">
        <v>92</v>
      </c>
      <c r="L141" t="e">
        <f>M97^2*(1-P22^4)*8/Q22^2/PI()^2/(O22/1000)^4/O45/X112^2/D20^2</f>
        <v>#DIV/0!</v>
      </c>
      <c r="M141" t="e">
        <f>L141/U$56</f>
        <v>#DIV/0!</v>
      </c>
      <c r="N141" t="str">
        <f>N140</f>
        <v>[mbar]</v>
      </c>
      <c r="O141" t="e">
        <f>X112</f>
        <v>#DIV/0!</v>
      </c>
    </row>
    <row r="143" spans="11:15" x14ac:dyDescent="0.25">
      <c r="K143" t="s">
        <v>83</v>
      </c>
      <c r="L143">
        <f>IF($M22=1,L138,IF($M22=8,L139,IF($M22=9,L140,L141)))</f>
        <v>17143979.980377719</v>
      </c>
      <c r="M143">
        <f>IF($M22=1,M138,IF($M22=8,M139,IF($M22=9,M140,M141)))</f>
        <v>171439.79980377719</v>
      </c>
      <c r="N143" t="str">
        <f>IF($M22=1,N138,IF($M22=8,N139,IF($M22=9,N140,N141)))</f>
        <v>[mbar]</v>
      </c>
      <c r="O143">
        <f>IF($M22=1,O138,IF($M22=8,O139,IF($M22=9,O140,O141)))</f>
        <v>2.3710669277818042</v>
      </c>
    </row>
    <row r="146" spans="11:21" ht="18.75" x14ac:dyDescent="0.3">
      <c r="K146" s="7" t="s">
        <v>114</v>
      </c>
    </row>
    <row r="148" spans="11:21" x14ac:dyDescent="0.25">
      <c r="K148" t="str">
        <f>"Flow "&amp;E28</f>
        <v>Flow [Nm3/h]@0°C/1013,25mbar</v>
      </c>
      <c r="L148" t="s">
        <v>115</v>
      </c>
      <c r="M148" t="s">
        <v>117</v>
      </c>
      <c r="N148" t="s">
        <v>116</v>
      </c>
      <c r="O148" t="s">
        <v>118</v>
      </c>
      <c r="P148" t="s">
        <v>121</v>
      </c>
      <c r="Q148" t="s">
        <v>123</v>
      </c>
      <c r="R148" t="s">
        <v>119</v>
      </c>
      <c r="S148" t="s">
        <v>116</v>
      </c>
      <c r="T148" t="s">
        <v>122</v>
      </c>
      <c r="U148" t="s">
        <v>124</v>
      </c>
    </row>
    <row r="149" spans="11:21" x14ac:dyDescent="0.25">
      <c r="K149">
        <f>D28</f>
        <v>450</v>
      </c>
      <c r="L149">
        <f>L143</f>
        <v>17143979.980377719</v>
      </c>
      <c r="M149">
        <f>L149*0.005+10</f>
        <v>85729.899901888595</v>
      </c>
      <c r="N149" s="9">
        <f>(1+M149/L149)^0.5-1</f>
        <v>2.4971737092969182E-3</v>
      </c>
      <c r="O149" s="10">
        <v>2.5000000000000001E-3</v>
      </c>
      <c r="P149" s="10">
        <f>O149+N149</f>
        <v>4.9971737092969187E-3</v>
      </c>
      <c r="Q149" s="10">
        <f>P149*K149/K$149</f>
        <v>4.9971737092969178E-3</v>
      </c>
      <c r="R149">
        <f t="shared" ref="R149:R168" si="5">L149*0.01+30</f>
        <v>171469.79980377719</v>
      </c>
      <c r="S149" s="9">
        <f t="shared" ref="S149:S168" si="6">(1+R149/L149)^0.5-1</f>
        <v>4.9884327122300398E-3</v>
      </c>
      <c r="T149" s="10">
        <f>S149+0.02</f>
        <v>2.498843271223004E-2</v>
      </c>
      <c r="U149" s="9">
        <f>T149*K149/K$149</f>
        <v>2.498843271223004E-2</v>
      </c>
    </row>
    <row r="150" spans="11:21" x14ac:dyDescent="0.25">
      <c r="K150">
        <f>K149-(0.05*K$149)</f>
        <v>427.5</v>
      </c>
      <c r="L150">
        <f>L$149*(K150/K$149)^2</f>
        <v>15472441.932290891</v>
      </c>
      <c r="M150">
        <f t="shared" ref="M150:M168" si="7">L150*0.005+10</f>
        <v>77372.209661454457</v>
      </c>
      <c r="N150" s="9">
        <f t="shared" ref="N150:N168" si="8">(1+M150/L150)^0.5-1</f>
        <v>2.4972051384439808E-3</v>
      </c>
      <c r="O150" s="10">
        <v>2.5000000000000001E-3</v>
      </c>
      <c r="P150" s="10">
        <f t="shared" ref="P150:P168" si="9">O150+N150</f>
        <v>4.9972051384439813E-3</v>
      </c>
      <c r="Q150" s="10">
        <f t="shared" ref="Q150:Q168" si="10">P150*K150/K$149</f>
        <v>4.7473448815217823E-3</v>
      </c>
      <c r="R150">
        <f t="shared" si="5"/>
        <v>154754.41932290891</v>
      </c>
      <c r="S150" s="9">
        <f t="shared" si="6"/>
        <v>4.9885267659397492E-3</v>
      </c>
      <c r="T150" s="10">
        <f t="shared" ref="T150:T168" si="11">S150+0.02</f>
        <v>2.498852676593975E-2</v>
      </c>
      <c r="U150" s="9">
        <f t="shared" ref="U150:U168" si="12">T150*K150/K$149</f>
        <v>2.3739100427642761E-2</v>
      </c>
    </row>
    <row r="151" spans="11:21" x14ac:dyDescent="0.25">
      <c r="K151">
        <f t="shared" ref="K151:K168" si="13">K150-(0.05*K$149)</f>
        <v>405</v>
      </c>
      <c r="L151">
        <f t="shared" ref="L151:L168" si="14">L$149*(K151/K$149)^2</f>
        <v>13886623.784105953</v>
      </c>
      <c r="M151">
        <f t="shared" si="7"/>
        <v>69443.118920529771</v>
      </c>
      <c r="N151" s="9">
        <f t="shared" si="8"/>
        <v>2.497241950042639E-3</v>
      </c>
      <c r="O151" s="10">
        <v>2.5000000000000001E-3</v>
      </c>
      <c r="P151" s="10">
        <f t="shared" si="9"/>
        <v>4.9972419500426395E-3</v>
      </c>
      <c r="Q151" s="10">
        <f t="shared" si="10"/>
        <v>4.4975177550383759E-3</v>
      </c>
      <c r="R151">
        <f t="shared" si="5"/>
        <v>138896.23784105954</v>
      </c>
      <c r="S151" s="9">
        <f t="shared" si="6"/>
        <v>4.9886369269687147E-3</v>
      </c>
      <c r="T151" s="10">
        <f t="shared" si="11"/>
        <v>2.4988636926968715E-2</v>
      </c>
      <c r="U151" s="9">
        <f t="shared" si="12"/>
        <v>2.2489773234271846E-2</v>
      </c>
    </row>
    <row r="152" spans="11:21" x14ac:dyDescent="0.25">
      <c r="K152">
        <f t="shared" si="13"/>
        <v>382.5</v>
      </c>
      <c r="L152">
        <f t="shared" si="14"/>
        <v>12386525.5358229</v>
      </c>
      <c r="M152">
        <f t="shared" si="7"/>
        <v>61942.627679114499</v>
      </c>
      <c r="N152" s="9">
        <f t="shared" si="8"/>
        <v>2.4972854471463357E-3</v>
      </c>
      <c r="O152" s="10">
        <v>2.5000000000000001E-3</v>
      </c>
      <c r="P152" s="10">
        <f t="shared" si="9"/>
        <v>4.9972854471463362E-3</v>
      </c>
      <c r="Q152" s="10">
        <f t="shared" si="10"/>
        <v>4.2476926300743859E-3</v>
      </c>
      <c r="R152">
        <f t="shared" si="5"/>
        <v>123895.255358229</v>
      </c>
      <c r="S152" s="9">
        <f t="shared" si="6"/>
        <v>4.9887670947827978E-3</v>
      </c>
      <c r="T152" s="10">
        <f t="shared" si="11"/>
        <v>2.4988767094782798E-2</v>
      </c>
      <c r="U152" s="9">
        <f t="shared" si="12"/>
        <v>2.1240452030565377E-2</v>
      </c>
    </row>
    <row r="153" spans="11:21" x14ac:dyDescent="0.25">
      <c r="K153">
        <f t="shared" si="13"/>
        <v>360</v>
      </c>
      <c r="L153">
        <f t="shared" si="14"/>
        <v>10972147.187441742</v>
      </c>
      <c r="M153">
        <f t="shared" si="7"/>
        <v>54870.735937208708</v>
      </c>
      <c r="N153" s="9">
        <f t="shared" si="8"/>
        <v>2.4973373523931031E-3</v>
      </c>
      <c r="O153" s="10">
        <v>2.5000000000000001E-3</v>
      </c>
      <c r="P153" s="10">
        <f t="shared" si="9"/>
        <v>4.9973373523931035E-3</v>
      </c>
      <c r="Q153" s="10">
        <f t="shared" si="10"/>
        <v>3.9978698819144827E-3</v>
      </c>
      <c r="R153">
        <f t="shared" si="5"/>
        <v>109751.47187441742</v>
      </c>
      <c r="S153" s="9">
        <f t="shared" si="6"/>
        <v>4.988922424477904E-3</v>
      </c>
      <c r="T153" s="10">
        <f t="shared" si="11"/>
        <v>2.4988922424477904E-2</v>
      </c>
      <c r="U153" s="9">
        <f t="shared" si="12"/>
        <v>1.9991137939582321E-2</v>
      </c>
    </row>
    <row r="154" spans="11:21" x14ac:dyDescent="0.25">
      <c r="K154">
        <f t="shared" si="13"/>
        <v>337.5</v>
      </c>
      <c r="L154">
        <f t="shared" si="14"/>
        <v>9643488.7389624678</v>
      </c>
      <c r="M154">
        <f t="shared" si="7"/>
        <v>48227.44369481234</v>
      </c>
      <c r="N154" s="9">
        <f t="shared" si="8"/>
        <v>2.4973999812252234E-3</v>
      </c>
      <c r="O154" s="10">
        <v>2.5000000000000001E-3</v>
      </c>
      <c r="P154" s="10">
        <f t="shared" si="9"/>
        <v>4.9973999812252239E-3</v>
      </c>
      <c r="Q154" s="10">
        <f t="shared" si="10"/>
        <v>3.7480499859189179E-3</v>
      </c>
      <c r="R154">
        <f t="shared" si="5"/>
        <v>96464.887389624681</v>
      </c>
      <c r="S154" s="9">
        <f t="shared" si="6"/>
        <v>4.9891098451515514E-3</v>
      </c>
      <c r="T154" s="10">
        <f t="shared" si="11"/>
        <v>2.4989109845151552E-2</v>
      </c>
      <c r="U154" s="9">
        <f t="shared" si="12"/>
        <v>1.8741832383863663E-2</v>
      </c>
    </row>
    <row r="155" spans="11:21" x14ac:dyDescent="0.25">
      <c r="K155">
        <f t="shared" si="13"/>
        <v>315</v>
      </c>
      <c r="L155">
        <f t="shared" si="14"/>
        <v>8400550.1903850809</v>
      </c>
      <c r="M155">
        <f t="shared" si="7"/>
        <v>42012.750951925402</v>
      </c>
      <c r="N155" s="9">
        <f t="shared" si="8"/>
        <v>2.4974765046648084E-3</v>
      </c>
      <c r="O155" s="10">
        <v>2.5000000000000001E-3</v>
      </c>
      <c r="P155" s="10">
        <f t="shared" si="9"/>
        <v>4.9974765046648089E-3</v>
      </c>
      <c r="Q155" s="10">
        <f t="shared" si="10"/>
        <v>3.4982335532653661E-3</v>
      </c>
      <c r="R155">
        <f t="shared" si="5"/>
        <v>84035.501903850804</v>
      </c>
      <c r="S155" s="9">
        <f t="shared" si="6"/>
        <v>4.9893388462696198E-3</v>
      </c>
      <c r="T155" s="10">
        <f t="shared" si="11"/>
        <v>2.498933884626962E-2</v>
      </c>
      <c r="U155" s="9">
        <f t="shared" si="12"/>
        <v>1.7492537192388732E-2</v>
      </c>
    </row>
    <row r="156" spans="11:21" x14ac:dyDescent="0.25">
      <c r="K156">
        <f t="shared" si="13"/>
        <v>292.5</v>
      </c>
      <c r="L156">
        <f t="shared" si="14"/>
        <v>7243331.541709587</v>
      </c>
      <c r="M156">
        <f t="shared" si="7"/>
        <v>36226.657708547937</v>
      </c>
      <c r="N156" s="9">
        <f t="shared" si="8"/>
        <v>2.4975713587465087E-3</v>
      </c>
      <c r="O156" s="10">
        <v>2.5000000000000001E-3</v>
      </c>
      <c r="P156" s="10">
        <f t="shared" si="9"/>
        <v>4.9975713587465092E-3</v>
      </c>
      <c r="Q156" s="10">
        <f t="shared" si="10"/>
        <v>3.248421383185231E-3</v>
      </c>
      <c r="R156">
        <f t="shared" si="5"/>
        <v>72463.315417095873</v>
      </c>
      <c r="S156" s="9">
        <f t="shared" si="6"/>
        <v>4.9896227029186946E-3</v>
      </c>
      <c r="T156" s="10">
        <f t="shared" si="11"/>
        <v>2.4989622702918695E-2</v>
      </c>
      <c r="U156" s="9">
        <f t="shared" si="12"/>
        <v>1.6243254756897151E-2</v>
      </c>
    </row>
    <row r="157" spans="11:21" x14ac:dyDescent="0.25">
      <c r="K157">
        <f t="shared" si="13"/>
        <v>270</v>
      </c>
      <c r="L157">
        <f t="shared" si="14"/>
        <v>6171832.7929359786</v>
      </c>
      <c r="M157">
        <f t="shared" si="7"/>
        <v>30869.163964679894</v>
      </c>
      <c r="N157" s="9">
        <f t="shared" si="8"/>
        <v>2.4976909022009774E-3</v>
      </c>
      <c r="O157" s="10">
        <v>2.5000000000000001E-3</v>
      </c>
      <c r="P157" s="10">
        <f t="shared" si="9"/>
        <v>4.9976909022009779E-3</v>
      </c>
      <c r="Q157" s="10">
        <f t="shared" si="10"/>
        <v>2.9986145413205866E-3</v>
      </c>
      <c r="R157">
        <f t="shared" si="5"/>
        <v>61748.327929359788</v>
      </c>
      <c r="S157" s="9">
        <f t="shared" si="6"/>
        <v>4.9899804439519357E-3</v>
      </c>
      <c r="T157" s="10">
        <f t="shared" si="11"/>
        <v>2.4989980443951936E-2</v>
      </c>
      <c r="U157" s="9">
        <f t="shared" si="12"/>
        <v>1.4993988266371163E-2</v>
      </c>
    </row>
    <row r="158" spans="11:21" x14ac:dyDescent="0.25">
      <c r="K158">
        <f t="shared" si="13"/>
        <v>247.5</v>
      </c>
      <c r="L158">
        <f t="shared" si="14"/>
        <v>5186053.9440642605</v>
      </c>
      <c r="M158">
        <f t="shared" si="7"/>
        <v>25940.269720321303</v>
      </c>
      <c r="N158" s="9">
        <f t="shared" si="8"/>
        <v>2.4978445105792169E-3</v>
      </c>
      <c r="O158" s="10">
        <v>2.5000000000000001E-3</v>
      </c>
      <c r="P158" s="10">
        <f t="shared" si="9"/>
        <v>4.9978445105792173E-3</v>
      </c>
      <c r="Q158" s="10">
        <f t="shared" si="10"/>
        <v>2.7488144808185695E-3</v>
      </c>
      <c r="R158">
        <f t="shared" si="5"/>
        <v>51890.539440642606</v>
      </c>
      <c r="S158" s="9">
        <f t="shared" si="6"/>
        <v>4.9904401262097497E-3</v>
      </c>
      <c r="T158" s="10">
        <f t="shared" si="11"/>
        <v>2.499044012620975E-2</v>
      </c>
      <c r="U158" s="9">
        <f t="shared" si="12"/>
        <v>1.3744742069415361E-2</v>
      </c>
    </row>
    <row r="159" spans="11:21" x14ac:dyDescent="0.25">
      <c r="K159">
        <f t="shared" si="13"/>
        <v>225</v>
      </c>
      <c r="L159">
        <f t="shared" si="14"/>
        <v>4285994.9950944297</v>
      </c>
      <c r="M159">
        <f t="shared" si="7"/>
        <v>21439.974975472149</v>
      </c>
      <c r="N159" s="9">
        <f t="shared" si="8"/>
        <v>2.4980464721677809E-3</v>
      </c>
      <c r="O159" s="10">
        <v>2.5000000000000001E-3</v>
      </c>
      <c r="P159" s="10">
        <f t="shared" si="9"/>
        <v>4.9980464721677813E-3</v>
      </c>
      <c r="Q159" s="10">
        <f t="shared" si="10"/>
        <v>2.4990232360838902E-3</v>
      </c>
      <c r="R159">
        <f t="shared" si="5"/>
        <v>42889.949950944298</v>
      </c>
      <c r="S159" s="9">
        <f t="shared" si="6"/>
        <v>4.9910445081278176E-3</v>
      </c>
      <c r="T159" s="10">
        <f t="shared" si="11"/>
        <v>2.4991044508127818E-2</v>
      </c>
      <c r="U159" s="9">
        <f t="shared" si="12"/>
        <v>1.2495522254063909E-2</v>
      </c>
    </row>
    <row r="160" spans="11:21" x14ac:dyDescent="0.25">
      <c r="K160">
        <f t="shared" si="13"/>
        <v>202.5</v>
      </c>
      <c r="L160">
        <f t="shared" si="14"/>
        <v>3471655.9460264882</v>
      </c>
      <c r="M160">
        <f t="shared" si="7"/>
        <v>17368.279730132443</v>
      </c>
      <c r="N160" s="9">
        <f t="shared" si="8"/>
        <v>2.498319434885099E-3</v>
      </c>
      <c r="O160" s="10">
        <v>2.5000000000000001E-3</v>
      </c>
      <c r="P160" s="10">
        <f t="shared" si="9"/>
        <v>4.9983194348850995E-3</v>
      </c>
      <c r="Q160" s="10">
        <f t="shared" si="10"/>
        <v>2.2492437456982949E-3</v>
      </c>
      <c r="R160">
        <f t="shared" si="5"/>
        <v>34746.559460264885</v>
      </c>
      <c r="S160" s="9">
        <f t="shared" si="6"/>
        <v>4.991861364710859E-3</v>
      </c>
      <c r="T160" s="10">
        <f t="shared" si="11"/>
        <v>2.4991861364710859E-2</v>
      </c>
      <c r="U160" s="9">
        <f t="shared" si="12"/>
        <v>1.1246337614119886E-2</v>
      </c>
    </row>
    <row r="161" spans="11:21" x14ac:dyDescent="0.25">
      <c r="K161">
        <f t="shared" si="13"/>
        <v>180</v>
      </c>
      <c r="L161">
        <f t="shared" si="14"/>
        <v>2743036.7968604355</v>
      </c>
      <c r="M161">
        <f t="shared" si="7"/>
        <v>13725.183984302177</v>
      </c>
      <c r="N161" s="9">
        <f t="shared" si="8"/>
        <v>2.4987010438222157E-3</v>
      </c>
      <c r="O161" s="10">
        <v>2.5000000000000001E-3</v>
      </c>
      <c r="P161" s="10">
        <f t="shared" si="9"/>
        <v>4.9987010438222162E-3</v>
      </c>
      <c r="Q161" s="10">
        <f t="shared" si="10"/>
        <v>1.9994804175288866E-3</v>
      </c>
      <c r="R161">
        <f t="shared" si="5"/>
        <v>27460.367968604354</v>
      </c>
      <c r="S161" s="9">
        <f t="shared" si="6"/>
        <v>4.9930033505971583E-3</v>
      </c>
      <c r="T161" s="10">
        <f t="shared" si="11"/>
        <v>2.4993003350597159E-2</v>
      </c>
      <c r="U161" s="9">
        <f t="shared" si="12"/>
        <v>9.9972013402388621E-3</v>
      </c>
    </row>
    <row r="162" spans="11:21" x14ac:dyDescent="0.25">
      <c r="K162">
        <f t="shared" si="13"/>
        <v>157.5</v>
      </c>
      <c r="L162">
        <f t="shared" si="14"/>
        <v>2100137.5475962702</v>
      </c>
      <c r="M162">
        <f t="shared" si="7"/>
        <v>10510.68773798135</v>
      </c>
      <c r="N162" s="9">
        <f t="shared" si="8"/>
        <v>2.4992576520359577E-3</v>
      </c>
      <c r="O162" s="10">
        <v>2.5000000000000001E-3</v>
      </c>
      <c r="P162" s="10">
        <f t="shared" si="9"/>
        <v>4.9992576520359582E-3</v>
      </c>
      <c r="Q162" s="10">
        <f t="shared" si="10"/>
        <v>1.7497401782125854E-3</v>
      </c>
      <c r="R162">
        <f t="shared" si="5"/>
        <v>21031.375475962701</v>
      </c>
      <c r="S162" s="9">
        <f t="shared" si="6"/>
        <v>4.9946690299651486E-3</v>
      </c>
      <c r="T162" s="10">
        <f t="shared" si="11"/>
        <v>2.4994669029965149E-2</v>
      </c>
      <c r="U162" s="9">
        <f t="shared" si="12"/>
        <v>8.748134160487803E-3</v>
      </c>
    </row>
    <row r="163" spans="11:21" x14ac:dyDescent="0.25">
      <c r="K163">
        <f t="shared" si="13"/>
        <v>135</v>
      </c>
      <c r="L163">
        <f t="shared" si="14"/>
        <v>1542958.1982339947</v>
      </c>
      <c r="M163">
        <f t="shared" si="7"/>
        <v>7724.7909911699735</v>
      </c>
      <c r="N163" s="9">
        <f t="shared" si="8"/>
        <v>2.5001152403822946E-3</v>
      </c>
      <c r="O163" s="10">
        <v>2.5000000000000001E-3</v>
      </c>
      <c r="P163" s="10">
        <f t="shared" si="9"/>
        <v>5.0001152403822951E-3</v>
      </c>
      <c r="Q163" s="10">
        <f t="shared" si="10"/>
        <v>1.5000345721146884E-3</v>
      </c>
      <c r="R163">
        <f t="shared" si="5"/>
        <v>15459.581982339947</v>
      </c>
      <c r="S163" s="9">
        <f t="shared" si="6"/>
        <v>4.9972354046248224E-3</v>
      </c>
      <c r="T163" s="10">
        <f t="shared" si="11"/>
        <v>2.4997235404624823E-2</v>
      </c>
      <c r="U163" s="9">
        <f t="shared" si="12"/>
        <v>7.499170621387447E-3</v>
      </c>
    </row>
    <row r="164" spans="11:21" x14ac:dyDescent="0.25">
      <c r="K164">
        <f t="shared" si="13"/>
        <v>112.5</v>
      </c>
      <c r="L164">
        <f t="shared" si="14"/>
        <v>1071498.7487736074</v>
      </c>
      <c r="M164">
        <f t="shared" si="7"/>
        <v>5367.4937438680372</v>
      </c>
      <c r="N164" s="9">
        <f t="shared" si="8"/>
        <v>2.5015375160533093E-3</v>
      </c>
      <c r="O164" s="10">
        <v>2.5000000000000001E-3</v>
      </c>
      <c r="P164" s="10">
        <f t="shared" si="9"/>
        <v>5.0015375160533098E-3</v>
      </c>
      <c r="Q164" s="10">
        <f t="shared" si="10"/>
        <v>1.2503843790133272E-3</v>
      </c>
      <c r="R164">
        <f t="shared" si="5"/>
        <v>10744.987487736074</v>
      </c>
      <c r="S164" s="9">
        <f t="shared" si="6"/>
        <v>5.0014916238443341E-3</v>
      </c>
      <c r="T164" s="10">
        <f t="shared" si="11"/>
        <v>2.5001491623844335E-2</v>
      </c>
      <c r="U164" s="9">
        <f t="shared" si="12"/>
        <v>6.2503729059610836E-3</v>
      </c>
    </row>
    <row r="165" spans="11:21" x14ac:dyDescent="0.25">
      <c r="K165">
        <f t="shared" si="13"/>
        <v>90</v>
      </c>
      <c r="L165">
        <f t="shared" si="14"/>
        <v>685759.19921510888</v>
      </c>
      <c r="M165">
        <f t="shared" si="7"/>
        <v>3438.7959960755443</v>
      </c>
      <c r="N165" s="9">
        <f t="shared" si="8"/>
        <v>2.504155790989282E-3</v>
      </c>
      <c r="O165" s="10">
        <v>2.5000000000000001E-3</v>
      </c>
      <c r="P165" s="10">
        <f t="shared" si="9"/>
        <v>5.0041557909892825E-3</v>
      </c>
      <c r="Q165" s="10">
        <f t="shared" si="10"/>
        <v>1.0008311581978565E-3</v>
      </c>
      <c r="R165">
        <f t="shared" si="5"/>
        <v>6887.5919921510886</v>
      </c>
      <c r="S165" s="9">
        <f t="shared" si="6"/>
        <v>5.0093268893642851E-3</v>
      </c>
      <c r="T165" s="10">
        <f t="shared" si="11"/>
        <v>2.5009326889364285E-2</v>
      </c>
      <c r="U165" s="9">
        <f t="shared" si="12"/>
        <v>5.0018653778728566E-3</v>
      </c>
    </row>
    <row r="166" spans="11:21" x14ac:dyDescent="0.25">
      <c r="K166">
        <f t="shared" si="13"/>
        <v>67.5</v>
      </c>
      <c r="L166">
        <f t="shared" si="14"/>
        <v>385739.54955849866</v>
      </c>
      <c r="M166">
        <f t="shared" si="7"/>
        <v>1938.6977477924934</v>
      </c>
      <c r="N166" s="9">
        <f t="shared" si="8"/>
        <v>2.509812534480238E-3</v>
      </c>
      <c r="O166" s="10">
        <v>2.5000000000000001E-3</v>
      </c>
      <c r="P166" s="10">
        <f t="shared" si="9"/>
        <v>5.0098125344802385E-3</v>
      </c>
      <c r="Q166" s="10">
        <f t="shared" si="10"/>
        <v>7.5147188017203571E-4</v>
      </c>
      <c r="R166">
        <f t="shared" si="5"/>
        <v>3887.3954955849867</v>
      </c>
      <c r="S166" s="9">
        <f t="shared" si="6"/>
        <v>5.0262547236046284E-3</v>
      </c>
      <c r="T166" s="10">
        <f t="shared" si="11"/>
        <v>2.5026254723604629E-2</v>
      </c>
      <c r="U166" s="9">
        <f t="shared" si="12"/>
        <v>3.7539382085406943E-3</v>
      </c>
    </row>
    <row r="167" spans="11:21" x14ac:dyDescent="0.25">
      <c r="K167">
        <f t="shared" si="13"/>
        <v>45</v>
      </c>
      <c r="L167">
        <f t="shared" si="14"/>
        <v>171439.79980377722</v>
      </c>
      <c r="M167">
        <f t="shared" si="7"/>
        <v>867.19899901888607</v>
      </c>
      <c r="N167" s="9">
        <f t="shared" si="8"/>
        <v>2.5259744828645125E-3</v>
      </c>
      <c r="O167" s="10">
        <v>2.5000000000000001E-3</v>
      </c>
      <c r="P167" s="10">
        <f t="shared" si="9"/>
        <v>5.025974482864513E-3</v>
      </c>
      <c r="Q167" s="10">
        <f t="shared" si="10"/>
        <v>5.0259744828645128E-4</v>
      </c>
      <c r="R167">
        <f t="shared" si="5"/>
        <v>1744.3979980377721</v>
      </c>
      <c r="S167" s="9">
        <f t="shared" si="6"/>
        <v>5.0746183933065847E-3</v>
      </c>
      <c r="T167" s="10">
        <f t="shared" si="11"/>
        <v>2.5074618393306585E-2</v>
      </c>
      <c r="U167" s="9">
        <f t="shared" si="12"/>
        <v>2.5074618393306583E-3</v>
      </c>
    </row>
    <row r="168" spans="11:21" x14ac:dyDescent="0.25">
      <c r="K168">
        <f t="shared" si="13"/>
        <v>22.5</v>
      </c>
      <c r="L168">
        <f t="shared" si="14"/>
        <v>42859.949950944305</v>
      </c>
      <c r="M168">
        <f t="shared" si="7"/>
        <v>224.29974975472152</v>
      </c>
      <c r="N168" s="9">
        <f t="shared" si="8"/>
        <v>2.6132445022197803E-3</v>
      </c>
      <c r="O168" s="10">
        <v>2.5000000000000001E-3</v>
      </c>
      <c r="P168" s="10">
        <f t="shared" si="9"/>
        <v>5.1132445022197808E-3</v>
      </c>
      <c r="Q168" s="10">
        <f t="shared" si="10"/>
        <v>2.5566222511098902E-4</v>
      </c>
      <c r="R168">
        <f t="shared" si="5"/>
        <v>458.59949950944304</v>
      </c>
      <c r="S168" s="9">
        <f t="shared" si="6"/>
        <v>5.335742005527333E-3</v>
      </c>
      <c r="T168" s="10">
        <f t="shared" si="11"/>
        <v>2.5335742005527333E-2</v>
      </c>
      <c r="U168" s="9">
        <f t="shared" si="12"/>
        <v>1.2667871002763665E-3</v>
      </c>
    </row>
    <row r="171" spans="11:21" x14ac:dyDescent="0.25">
      <c r="K171" t="s">
        <v>173</v>
      </c>
      <c r="L171" t="s">
        <v>180</v>
      </c>
      <c r="M171" t="s">
        <v>173</v>
      </c>
    </row>
    <row r="172" spans="11:21" x14ac:dyDescent="0.25">
      <c r="K172" t="s">
        <v>174</v>
      </c>
      <c r="L172" t="s">
        <v>181</v>
      </c>
      <c r="M172" t="s">
        <v>174</v>
      </c>
    </row>
    <row r="173" spans="11:21" x14ac:dyDescent="0.25">
      <c r="K173" t="s">
        <v>175</v>
      </c>
      <c r="L173" t="s">
        <v>182</v>
      </c>
      <c r="M173" t="s">
        <v>175</v>
      </c>
    </row>
    <row r="174" spans="11:21" x14ac:dyDescent="0.25">
      <c r="K174" t="s">
        <v>176</v>
      </c>
      <c r="L174" t="s">
        <v>183</v>
      </c>
      <c r="M174" t="s">
        <v>176</v>
      </c>
    </row>
    <row r="175" spans="11:21" x14ac:dyDescent="0.25">
      <c r="K175" t="s">
        <v>177</v>
      </c>
      <c r="L175" t="s">
        <v>184</v>
      </c>
      <c r="M175" t="s">
        <v>177</v>
      </c>
    </row>
    <row r="177" spans="11:17" x14ac:dyDescent="0.25">
      <c r="K177" t="s">
        <v>178</v>
      </c>
      <c r="L177" t="s">
        <v>185</v>
      </c>
      <c r="M177" t="s">
        <v>178</v>
      </c>
    </row>
    <row r="178" spans="11:17" x14ac:dyDescent="0.25">
      <c r="K178" t="s">
        <v>179</v>
      </c>
      <c r="L178" t="s">
        <v>186</v>
      </c>
      <c r="M178" t="s">
        <v>179</v>
      </c>
    </row>
    <row r="180" spans="11:17" x14ac:dyDescent="0.25">
      <c r="K180" t="s">
        <v>187</v>
      </c>
      <c r="L180" t="s">
        <v>197</v>
      </c>
      <c r="M180" t="s">
        <v>187</v>
      </c>
    </row>
    <row r="181" spans="11:17" x14ac:dyDescent="0.25">
      <c r="K181" t="s">
        <v>188</v>
      </c>
      <c r="L181" t="s">
        <v>196</v>
      </c>
      <c r="M181" t="s">
        <v>188</v>
      </c>
    </row>
    <row r="183" spans="11:17" x14ac:dyDescent="0.25">
      <c r="L183" t="s">
        <v>199</v>
      </c>
      <c r="M183" t="s">
        <v>200</v>
      </c>
    </row>
    <row r="184" spans="11:17" x14ac:dyDescent="0.25">
      <c r="K184" t="s">
        <v>189</v>
      </c>
      <c r="L184" t="s">
        <v>192</v>
      </c>
      <c r="M184" t="s">
        <v>189</v>
      </c>
    </row>
    <row r="185" spans="11:17" x14ac:dyDescent="0.25">
      <c r="K185" t="s">
        <v>190</v>
      </c>
      <c r="L185" t="s">
        <v>193</v>
      </c>
      <c r="M185" t="s">
        <v>190</v>
      </c>
    </row>
    <row r="186" spans="11:17" x14ac:dyDescent="0.25">
      <c r="K186" t="s">
        <v>191</v>
      </c>
      <c r="L186" t="s">
        <v>194</v>
      </c>
      <c r="M186" t="s">
        <v>191</v>
      </c>
    </row>
    <row r="190" spans="11:17" x14ac:dyDescent="0.25">
      <c r="K190" t="s">
        <v>260</v>
      </c>
      <c r="M190" t="s">
        <v>173</v>
      </c>
      <c r="N190" t="s">
        <v>174</v>
      </c>
      <c r="O190" t="s">
        <v>175</v>
      </c>
      <c r="P190" t="s">
        <v>176</v>
      </c>
      <c r="Q190" t="s">
        <v>177</v>
      </c>
    </row>
    <row r="191" spans="11:17" x14ac:dyDescent="0.25">
      <c r="K191" t="str">
        <f t="shared" ref="K191:K198" si="15">_xlfn.XLOOKUP(E$40,M$190:Q$190,M191:Q191)</f>
        <v>(brown) GND</v>
      </c>
      <c r="L191">
        <v>1</v>
      </c>
      <c r="M191" t="s">
        <v>261</v>
      </c>
      <c r="N191" t="s">
        <v>261</v>
      </c>
      <c r="O191" t="s">
        <v>261</v>
      </c>
      <c r="P191" t="s">
        <v>270</v>
      </c>
      <c r="Q191" t="s">
        <v>270</v>
      </c>
    </row>
    <row r="192" spans="11:17" x14ac:dyDescent="0.25">
      <c r="K192" t="str">
        <f t="shared" si="15"/>
        <v>(white) 4..20mA</v>
      </c>
      <c r="L192">
        <v>2</v>
      </c>
      <c r="M192" t="s">
        <v>262</v>
      </c>
      <c r="N192" t="s">
        <v>265</v>
      </c>
      <c r="O192" t="s">
        <v>268</v>
      </c>
      <c r="P192" t="s">
        <v>271</v>
      </c>
      <c r="Q192" t="s">
        <v>271</v>
      </c>
    </row>
    <row r="193" spans="11:17" x14ac:dyDescent="0.25">
      <c r="K193" t="str">
        <f t="shared" si="15"/>
        <v>(blue) Supply</v>
      </c>
      <c r="L193">
        <v>3</v>
      </c>
      <c r="M193" t="s">
        <v>266</v>
      </c>
      <c r="N193" t="s">
        <v>266</v>
      </c>
      <c r="O193" t="s">
        <v>266</v>
      </c>
      <c r="P193" t="s">
        <v>272</v>
      </c>
      <c r="Q193" t="s">
        <v>272</v>
      </c>
    </row>
    <row r="194" spans="11:17" x14ac:dyDescent="0.25">
      <c r="K194" t="str">
        <f t="shared" si="15"/>
        <v>(black) 0..10VDC</v>
      </c>
      <c r="L194">
        <v>4</v>
      </c>
      <c r="M194" t="s">
        <v>263</v>
      </c>
      <c r="N194" t="s">
        <v>267</v>
      </c>
      <c r="O194" t="s">
        <v>269</v>
      </c>
      <c r="P194" t="s">
        <v>273</v>
      </c>
      <c r="Q194" t="s">
        <v>273</v>
      </c>
    </row>
    <row r="195" spans="11:17" x14ac:dyDescent="0.25">
      <c r="K195" t="str">
        <f t="shared" si="15"/>
        <v>n.a.</v>
      </c>
      <c r="L195">
        <v>5</v>
      </c>
      <c r="M195" t="s">
        <v>264</v>
      </c>
      <c r="N195" t="s">
        <v>264</v>
      </c>
      <c r="O195" t="s">
        <v>264</v>
      </c>
      <c r="P195" t="s">
        <v>275</v>
      </c>
      <c r="Q195" t="s">
        <v>275</v>
      </c>
    </row>
    <row r="196" spans="11:17" x14ac:dyDescent="0.25">
      <c r="K196" t="str">
        <f t="shared" si="15"/>
        <v>n.a.</v>
      </c>
      <c r="L196">
        <v>6</v>
      </c>
      <c r="M196" t="s">
        <v>264</v>
      </c>
      <c r="N196" t="s">
        <v>264</v>
      </c>
      <c r="O196" t="s">
        <v>264</v>
      </c>
      <c r="P196" t="s">
        <v>274</v>
      </c>
      <c r="Q196" t="s">
        <v>274</v>
      </c>
    </row>
    <row r="197" spans="11:17" x14ac:dyDescent="0.25">
      <c r="K197" t="str">
        <f t="shared" si="15"/>
        <v>n.a.</v>
      </c>
      <c r="L197">
        <v>7</v>
      </c>
      <c r="M197" t="s">
        <v>264</v>
      </c>
      <c r="N197" t="s">
        <v>264</v>
      </c>
      <c r="O197" t="s">
        <v>264</v>
      </c>
      <c r="P197" t="s">
        <v>276</v>
      </c>
      <c r="Q197" t="s">
        <v>278</v>
      </c>
    </row>
    <row r="198" spans="11:17" x14ac:dyDescent="0.25">
      <c r="K198" t="str">
        <f t="shared" si="15"/>
        <v>n.a.</v>
      </c>
      <c r="L198">
        <v>8</v>
      </c>
      <c r="M198" t="s">
        <v>264</v>
      </c>
      <c r="N198" t="s">
        <v>264</v>
      </c>
      <c r="O198" t="s">
        <v>264</v>
      </c>
      <c r="P198" t="s">
        <v>277</v>
      </c>
      <c r="Q198" t="s">
        <v>279</v>
      </c>
    </row>
  </sheetData>
  <sheetProtection algorithmName="SHA-512" hashValue="f5kOvexTUAAjvmFFEMzY9eLB/dInaB8IkNgaJ4VN5mi9eEv6sq7iNBhvmkpfsgCoOLFvGF/up79KTNH193b1uw==" saltValue="JfmJjjfH9rgeCw2IMpxq1A==" spinCount="100000" sheet="1" objects="1" scenarios="1" selectLockedCells="1"/>
  <mergeCells count="4">
    <mergeCell ref="C37:E37"/>
    <mergeCell ref="C19:E19"/>
    <mergeCell ref="C21:E21"/>
    <mergeCell ref="C14:E14"/>
  </mergeCells>
  <conditionalFormatting sqref="C15:E16">
    <cfRule type="expression" dxfId="24" priority="28">
      <formula>$M$23=3</formula>
    </cfRule>
  </conditionalFormatting>
  <conditionalFormatting sqref="C16:E16">
    <cfRule type="expression" dxfId="23" priority="26">
      <formula>$M$23=1</formula>
    </cfRule>
  </conditionalFormatting>
  <conditionalFormatting sqref="C17:E17">
    <cfRule type="expression" dxfId="22" priority="24">
      <formula>$M$22&lt;&gt;8</formula>
    </cfRule>
  </conditionalFormatting>
  <conditionalFormatting sqref="C18:E18">
    <cfRule type="expression" dxfId="21" priority="4">
      <formula>$M$22&lt;&gt;9</formula>
    </cfRule>
  </conditionalFormatting>
  <conditionalFormatting sqref="C19:E19 E20 C21:E21">
    <cfRule type="expression" dxfId="20" priority="2">
      <formula>$M$23=3</formula>
    </cfRule>
  </conditionalFormatting>
  <conditionalFormatting sqref="C29:E30">
    <cfRule type="expression" dxfId="19" priority="1">
      <formula>$M$22&lt;8</formula>
    </cfRule>
  </conditionalFormatting>
  <conditionalFormatting sqref="D15">
    <cfRule type="expression" dxfId="18" priority="6">
      <formula>$D$15&lt;$O$22</formula>
    </cfRule>
  </conditionalFormatting>
  <conditionalFormatting sqref="D28">
    <cfRule type="expression" dxfId="17" priority="46">
      <formula>$D$28&gt;$L$122</formula>
    </cfRule>
  </conditionalFormatting>
  <conditionalFormatting sqref="D34">
    <cfRule type="expression" dxfId="16" priority="10">
      <formula>$L$143&gt;20000</formula>
    </cfRule>
    <cfRule type="expression" dxfId="15" priority="11">
      <formula>$L$143&lt;200</formula>
    </cfRule>
    <cfRule type="expression" dxfId="14" priority="13">
      <formula>$L$143&lt;700</formula>
    </cfRule>
  </conditionalFormatting>
  <conditionalFormatting sqref="D35">
    <cfRule type="expression" dxfId="13" priority="12">
      <formula>$D$35&lt;0.75</formula>
    </cfRule>
  </conditionalFormatting>
  <conditionalFormatting sqref="I21 G22:H22 C24:F24">
    <cfRule type="expression" dxfId="12" priority="21">
      <formula>$M$44&lt;&gt;2</formula>
    </cfRule>
  </conditionalFormatting>
  <dataValidations count="10">
    <dataValidation type="list" allowBlank="1" showInputMessage="1" showErrorMessage="1" sqref="D13" xr:uid="{D9EF0537-0507-4857-9BFF-0BC000947E41}">
      <formula1>$L$13:$L$21</formula1>
    </dataValidation>
    <dataValidation type="list" allowBlank="1" showInputMessage="1" showErrorMessage="1" sqref="E26" xr:uid="{832EBA86-4BE8-443B-981F-A72DD5D7E76B}">
      <formula1>$L$50:$L$55</formula1>
    </dataValidation>
    <dataValidation type="list" allowBlank="1" showInputMessage="1" showErrorMessage="1" sqref="E27" xr:uid="{10EC3077-9995-416D-8EE8-C892D0429717}">
      <formula1>$L$61:$L$63</formula1>
    </dataValidation>
    <dataValidation type="list" allowBlank="1" showInputMessage="1" showErrorMessage="1" sqref="E34" xr:uid="{A11F850B-BD61-4FCD-B2C5-D300052CB263}">
      <formula1>$S$50:$S$55</formula1>
    </dataValidation>
    <dataValidation type="list" allowBlank="1" showInputMessage="1" showErrorMessage="1" sqref="D23" xr:uid="{1C8CAC7D-55C7-4B77-BBD2-A1B249427361}">
      <formula1>$L$30:$L$43</formula1>
    </dataValidation>
    <dataValidation type="list" allowBlank="1" showInputMessage="1" showErrorMessage="1" sqref="D40" xr:uid="{31020135-F37D-4E3F-A73A-E2C053B2BF36}">
      <formula1>$L$171:$L$175</formula1>
    </dataValidation>
    <dataValidation type="list" allowBlank="1" showInputMessage="1" showErrorMessage="1" sqref="D41 F41 G40" xr:uid="{A2D50D91-0E34-49C7-92BC-3FDCB0AF31EF}">
      <formula1>$L$177:$L$178</formula1>
    </dataValidation>
    <dataValidation type="list" allowBlank="1" showInputMessage="1" showErrorMessage="1" sqref="D42" xr:uid="{2162B286-E50B-4E37-8234-39014BC44315}">
      <formula1>$L$180:$L$181</formula1>
    </dataValidation>
    <dataValidation type="list" allowBlank="1" showInputMessage="1" showErrorMessage="1" sqref="D43" xr:uid="{DA795C01-3E66-44D6-8F87-F225262E3554}">
      <formula1>$L$183:$L$186</formula1>
    </dataValidation>
    <dataValidation type="list" allowBlank="1" showInputMessage="1" showErrorMessage="1" sqref="E28" xr:uid="{AF96C046-6DF7-4EED-BA56-4343558640DC}">
      <formula1>$L$69:$L$92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7B3E-9C6E-40ED-820C-51F90FB90321}">
  <dimension ref="A2:K54"/>
  <sheetViews>
    <sheetView showGridLines="0" showRowColHeaders="0" showWhiteSpace="0" view="pageLayout" topLeftCell="A32" zoomScale="120" zoomScaleNormal="100" zoomScalePageLayoutView="120" workbookViewId="0">
      <selection activeCell="H4" sqref="H4:J4"/>
    </sheetView>
  </sheetViews>
  <sheetFormatPr baseColWidth="10" defaultColWidth="11.42578125" defaultRowHeight="12.75" x14ac:dyDescent="0.2"/>
  <cols>
    <col min="1" max="1" width="4.7109375" style="44" customWidth="1"/>
    <col min="2" max="2" width="15.42578125" style="44" customWidth="1"/>
    <col min="3" max="3" width="8.85546875" style="44" customWidth="1"/>
    <col min="4" max="4" width="7.140625" style="44" customWidth="1"/>
    <col min="5" max="5" width="8.42578125" style="44" customWidth="1"/>
    <col min="6" max="6" width="7.5703125" style="44" customWidth="1"/>
    <col min="7" max="7" width="9.7109375" style="44" customWidth="1"/>
    <col min="8" max="8" width="8.5703125" style="44" customWidth="1"/>
    <col min="9" max="9" width="12.7109375" style="44" customWidth="1"/>
    <col min="10" max="10" width="15.42578125" style="44" customWidth="1"/>
    <col min="11" max="11" width="3.140625" style="44" customWidth="1"/>
    <col min="12" max="16384" width="11.42578125" style="44"/>
  </cols>
  <sheetData>
    <row r="2" spans="1:11" ht="24" customHeight="1" x14ac:dyDescent="0.2">
      <c r="C2" s="45"/>
      <c r="D2" s="45"/>
      <c r="E2" s="45"/>
      <c r="F2" s="45"/>
    </row>
    <row r="3" spans="1:11" ht="13.5" thickBot="1" x14ac:dyDescent="0.25">
      <c r="B3" s="99" t="s">
        <v>313</v>
      </c>
      <c r="C3" s="99"/>
      <c r="D3" s="99"/>
      <c r="E3" s="99"/>
      <c r="F3" s="100">
        <f ca="1">TODAY()</f>
        <v>46003</v>
      </c>
      <c r="G3" s="100"/>
    </row>
    <row r="4" spans="1:11" ht="54.75" thickBot="1" x14ac:dyDescent="0.25">
      <c r="A4" s="47"/>
      <c r="B4" s="48"/>
      <c r="C4" s="49" t="s">
        <v>314</v>
      </c>
      <c r="D4" s="49" t="s">
        <v>315</v>
      </c>
      <c r="E4" s="49" t="s">
        <v>145</v>
      </c>
      <c r="F4" s="49" t="s">
        <v>316</v>
      </c>
      <c r="G4" s="49" t="s">
        <v>317</v>
      </c>
      <c r="H4" s="101" t="s">
        <v>339</v>
      </c>
      <c r="I4" s="102"/>
      <c r="J4" s="103"/>
      <c r="K4" s="47"/>
    </row>
    <row r="5" spans="1:11" x14ac:dyDescent="0.2">
      <c r="B5" s="50" t="s">
        <v>158</v>
      </c>
      <c r="C5" s="51" t="str">
        <f>Inputs!D13</f>
        <v>P10</v>
      </c>
      <c r="D5" s="44" t="str">
        <f>Inputs!E40</f>
        <v>IO</v>
      </c>
      <c r="E5" s="44" t="str">
        <f>Inputs!E41</f>
        <v>D1</v>
      </c>
      <c r="F5" s="44" t="str">
        <f>Inputs!E42</f>
        <v>DH</v>
      </c>
      <c r="G5" s="44" t="str">
        <f>Inputs!E43</f>
        <v>-</v>
      </c>
      <c r="H5" s="104" t="s">
        <v>147</v>
      </c>
      <c r="I5" s="104"/>
      <c r="J5" s="52"/>
    </row>
    <row r="6" spans="1:11" x14ac:dyDescent="0.2">
      <c r="B6" s="50" t="s">
        <v>318</v>
      </c>
      <c r="C6" s="44" t="str">
        <f>Inputs!D23</f>
        <v>other gas</v>
      </c>
      <c r="D6" s="44" t="str">
        <f>Inputs!E23</f>
        <v>-</v>
      </c>
      <c r="E6" s="53"/>
      <c r="F6" s="44">
        <f>Inputs!D24</f>
        <v>12321</v>
      </c>
      <c r="G6" s="44" t="str">
        <f>Inputs!E24</f>
        <v>[kg/Nm³]</v>
      </c>
      <c r="H6" s="44" t="str">
        <f>Inputs!F24</f>
        <v>0°C, 1013,25 hPa</v>
      </c>
      <c r="J6" s="52"/>
    </row>
    <row r="7" spans="1:11" x14ac:dyDescent="0.2">
      <c r="B7" s="54" t="s">
        <v>319</v>
      </c>
      <c r="C7" s="55"/>
      <c r="D7" s="55"/>
      <c r="E7" s="55">
        <f>Inputs!D26</f>
        <v>100</v>
      </c>
      <c r="F7" s="55" t="str">
        <f>Inputs!E26</f>
        <v>[kPa]</v>
      </c>
      <c r="G7" s="55"/>
      <c r="H7" s="55" t="s">
        <v>336</v>
      </c>
      <c r="I7" s="44">
        <f>Inputs!D15</f>
        <v>50</v>
      </c>
      <c r="J7" s="52" t="str">
        <f>Inputs!E15</f>
        <v>[mm]</v>
      </c>
    </row>
    <row r="8" spans="1:11" x14ac:dyDescent="0.2">
      <c r="B8" s="54" t="s">
        <v>320</v>
      </c>
      <c r="C8" s="55"/>
      <c r="D8" s="55"/>
      <c r="E8" s="55">
        <f>Inputs!D27</f>
        <v>19</v>
      </c>
      <c r="F8" s="55" t="str">
        <f>Inputs!E27</f>
        <v>[°C]</v>
      </c>
      <c r="G8" s="55"/>
      <c r="H8" s="55"/>
      <c r="J8" s="52"/>
    </row>
    <row r="9" spans="1:11" x14ac:dyDescent="0.2">
      <c r="B9" s="54" t="s">
        <v>321</v>
      </c>
      <c r="C9" s="55"/>
      <c r="D9" s="55"/>
      <c r="E9" s="55">
        <f>Inputs!D28</f>
        <v>450</v>
      </c>
      <c r="F9" s="55" t="str">
        <f>Inputs!E28</f>
        <v>[Nm3/h]@0°C/1013,25mbar</v>
      </c>
      <c r="G9" s="55"/>
      <c r="H9" s="55"/>
      <c r="I9" s="56"/>
      <c r="J9" s="52"/>
    </row>
    <row r="10" spans="1:11" ht="13.5" thickBot="1" x14ac:dyDescent="0.25">
      <c r="B10" s="57" t="s">
        <v>149</v>
      </c>
      <c r="C10" s="58"/>
      <c r="D10" s="58"/>
      <c r="E10" s="58">
        <f>Inputs!D20</f>
        <v>1</v>
      </c>
      <c r="F10" s="58" t="s">
        <v>45</v>
      </c>
      <c r="G10" s="58"/>
      <c r="H10" s="58"/>
      <c r="I10" s="59"/>
      <c r="J10" s="60"/>
    </row>
    <row r="11" spans="1:11" ht="6.75" customHeight="1" x14ac:dyDescent="0.2">
      <c r="B11" s="55"/>
      <c r="C11" s="55"/>
      <c r="D11" s="55"/>
      <c r="E11" s="55"/>
      <c r="F11" s="55"/>
      <c r="G11" s="55"/>
      <c r="H11" s="55"/>
    </row>
    <row r="12" spans="1:11" x14ac:dyDescent="0.2">
      <c r="B12" s="45" t="s">
        <v>322</v>
      </c>
      <c r="C12" s="45"/>
      <c r="D12" s="105" t="str">
        <f ca="1">CELL("dateiname")</f>
        <v>C:\Users\OliverB\Desktop\[deltaflowC2-SelectorV3_08.xlsx]Inputs</v>
      </c>
      <c r="E12" s="105"/>
      <c r="F12" s="105"/>
      <c r="G12" s="105"/>
      <c r="H12" s="105"/>
      <c r="I12" s="105"/>
      <c r="J12" s="105"/>
    </row>
    <row r="13" spans="1:11" x14ac:dyDescent="0.2">
      <c r="B13" s="45"/>
      <c r="C13" s="45"/>
      <c r="D13" s="105"/>
      <c r="E13" s="105"/>
      <c r="F13" s="105"/>
      <c r="G13" s="105"/>
      <c r="H13" s="105"/>
      <c r="I13" s="105"/>
      <c r="J13" s="105"/>
    </row>
    <row r="14" spans="1:11" x14ac:dyDescent="0.2">
      <c r="I14" s="61" t="s">
        <v>259</v>
      </c>
      <c r="J14" s="62" t="s">
        <v>173</v>
      </c>
    </row>
    <row r="15" spans="1:11" x14ac:dyDescent="0.2">
      <c r="B15" s="44" t="s">
        <v>323</v>
      </c>
      <c r="C15" s="63"/>
      <c r="D15" s="63"/>
      <c r="E15" s="64">
        <f>Inputs!L122</f>
        <v>26.815766014967785</v>
      </c>
      <c r="F15" s="44" t="str">
        <f>F9</f>
        <v>[Nm3/h]@0°C/1013,25mbar</v>
      </c>
      <c r="G15" s="64"/>
      <c r="I15" s="65">
        <v>1</v>
      </c>
      <c r="J15" s="66" t="str">
        <f>Inputs!K191</f>
        <v>(brown) GND</v>
      </c>
    </row>
    <row r="16" spans="1:11" x14ac:dyDescent="0.2">
      <c r="B16" s="44" t="s">
        <v>324</v>
      </c>
      <c r="E16" s="44">
        <f>E9</f>
        <v>450</v>
      </c>
      <c r="F16" s="44" t="str">
        <f>F15</f>
        <v>[Nm3/h]@0°C/1013,25mbar</v>
      </c>
      <c r="G16" s="64"/>
      <c r="I16" s="65">
        <v>2</v>
      </c>
      <c r="J16" s="66" t="str">
        <f>Inputs!K192</f>
        <v>(white) 4..20mA</v>
      </c>
    </row>
    <row r="17" spans="2:10" x14ac:dyDescent="0.2">
      <c r="B17" s="44" t="s">
        <v>325</v>
      </c>
      <c r="E17" s="44">
        <f>E7</f>
        <v>100</v>
      </c>
      <c r="F17" s="44" t="s">
        <v>51</v>
      </c>
      <c r="G17" s="64"/>
      <c r="I17" s="65">
        <v>3</v>
      </c>
      <c r="J17" s="66" t="str">
        <f>Inputs!K193</f>
        <v>(blue) Supply</v>
      </c>
    </row>
    <row r="18" spans="2:10" x14ac:dyDescent="0.2">
      <c r="B18" s="44" t="s">
        <v>326</v>
      </c>
      <c r="E18" s="44">
        <f>E8</f>
        <v>19</v>
      </c>
      <c r="F18" s="44" t="s">
        <v>43</v>
      </c>
      <c r="G18" s="64"/>
      <c r="I18" s="65">
        <v>4</v>
      </c>
      <c r="J18" s="66" t="str">
        <f>Inputs!K194</f>
        <v>(black) 0..10VDC</v>
      </c>
    </row>
    <row r="19" spans="2:10" x14ac:dyDescent="0.2">
      <c r="B19" s="44" t="s">
        <v>327</v>
      </c>
      <c r="E19" s="67">
        <f>Inputs!O45</f>
        <v>11369.062641208842</v>
      </c>
      <c r="F19" s="44" t="s">
        <v>81</v>
      </c>
      <c r="G19" s="64"/>
      <c r="I19" s="65">
        <v>5</v>
      </c>
      <c r="J19" s="66" t="str">
        <f>Inputs!K195</f>
        <v>n.a.</v>
      </c>
    </row>
    <row r="20" spans="2:10" x14ac:dyDescent="0.2">
      <c r="B20" s="44" t="s">
        <v>328</v>
      </c>
      <c r="E20" s="64">
        <f>Inputs!D34</f>
        <v>71.052000000000007</v>
      </c>
      <c r="F20" s="44" t="str">
        <f>Inputs!D52</f>
        <v>[mbar]</v>
      </c>
      <c r="G20" s="64"/>
      <c r="I20" s="65">
        <v>6</v>
      </c>
      <c r="J20" s="66" t="str">
        <f>Inputs!K196</f>
        <v>n.a.</v>
      </c>
    </row>
    <row r="21" spans="2:10" x14ac:dyDescent="0.2">
      <c r="B21" s="44" t="s">
        <v>333</v>
      </c>
      <c r="E21" s="64">
        <f>IF(E20*Inputs!D36&gt;0,E20*Inputs!D36,"-")</f>
        <v>14.879159499748289</v>
      </c>
      <c r="F21" s="44" t="str">
        <f>F20</f>
        <v>[mbar]</v>
      </c>
      <c r="G21" s="64"/>
      <c r="I21" s="65">
        <v>7</v>
      </c>
      <c r="J21" s="66" t="str">
        <f>Inputs!K197</f>
        <v>n.a.</v>
      </c>
    </row>
    <row r="22" spans="2:10" x14ac:dyDescent="0.2">
      <c r="B22" s="44" t="s">
        <v>329</v>
      </c>
      <c r="E22" s="67">
        <f>Inputs!D35</f>
        <v>0.95699999999999996</v>
      </c>
      <c r="F22" s="44" t="s">
        <v>45</v>
      </c>
      <c r="I22" s="65">
        <v>8</v>
      </c>
      <c r="J22" s="66" t="str">
        <f>Inputs!K198</f>
        <v>n.a.</v>
      </c>
    </row>
    <row r="23" spans="2:10" x14ac:dyDescent="0.2">
      <c r="B23" s="68" t="str">
        <f>Inputs!C37</f>
        <v>DesignFlow is too high or wrong p&amp;T! Please select other Type or Diameter</v>
      </c>
      <c r="E23" s="69"/>
      <c r="G23" s="64"/>
    </row>
    <row r="24" spans="2:10" ht="13.5" thickBot="1" x14ac:dyDescent="0.25">
      <c r="B24" s="45" t="s">
        <v>330</v>
      </c>
    </row>
    <row r="25" spans="2:10" x14ac:dyDescent="0.2">
      <c r="B25" s="70" t="str">
        <f>Inputs!C47</f>
        <v>Flow Unit / Time Basis</v>
      </c>
      <c r="C25" s="71" t="str">
        <f>Inputs!D47</f>
        <v>[Nm3/h]@0°C/1013,25mbar</v>
      </c>
      <c r="D25" s="72"/>
      <c r="E25" s="70" t="str">
        <f>Inputs!C53</f>
        <v>Damping</v>
      </c>
      <c r="F25" s="72"/>
      <c r="G25" s="72" t="str">
        <f>Inputs!D53</f>
        <v>select [0..99] sek</v>
      </c>
      <c r="H25" s="72"/>
      <c r="I25" s="73" t="str">
        <f>Inputs!C59</f>
        <v>0-Suppression</v>
      </c>
      <c r="J25" s="74" t="s">
        <v>247</v>
      </c>
    </row>
    <row r="26" spans="2:10" x14ac:dyDescent="0.2">
      <c r="B26" s="50" t="str">
        <f>Inputs!C48</f>
        <v>Flowspan</v>
      </c>
      <c r="C26" s="64">
        <f>Inputs!D48</f>
        <v>26.815766014967785</v>
      </c>
      <c r="D26" s="44" t="str">
        <f>C25</f>
        <v>[Nm3/h]@0°C/1013,25mbar</v>
      </c>
      <c r="E26" s="50" t="str">
        <f>Inputs!C54</f>
        <v>Current Out</v>
      </c>
      <c r="G26" s="44" t="str">
        <f>Inputs!D54</f>
        <v>select [Flow/dp/p/T]</v>
      </c>
      <c r="I26" s="75" t="str">
        <f>Inputs!C60</f>
        <v>KEPS</v>
      </c>
      <c r="J26" s="76">
        <f>Inputs!D60</f>
        <v>2001.4916237567902</v>
      </c>
    </row>
    <row r="27" spans="2:10" x14ac:dyDescent="0.2">
      <c r="B27" s="50" t="str">
        <f>Inputs!C49</f>
        <v>Temp. Unit</v>
      </c>
      <c r="C27" s="67" t="str">
        <f>Inputs!D49</f>
        <v>[°C]</v>
      </c>
      <c r="E27" s="50" t="str">
        <f>Inputs!C55</f>
        <v>Voltage Out</v>
      </c>
      <c r="G27" s="44" t="str">
        <f>Inputs!D55</f>
        <v>select [Flow/dp/p/T]</v>
      </c>
      <c r="I27" s="75" t="str">
        <f>Inputs!C61</f>
        <v>K Analog</v>
      </c>
      <c r="J27" s="76">
        <f>Inputs!D61</f>
        <v>314042.86550305795</v>
      </c>
    </row>
    <row r="28" spans="2:10" x14ac:dyDescent="0.2">
      <c r="B28" s="50" t="str">
        <f>Inputs!C50</f>
        <v>Press. Unit</v>
      </c>
      <c r="C28" s="69" t="str">
        <f>Inputs!D50</f>
        <v>[kPa]</v>
      </c>
      <c r="E28" s="50" t="str">
        <f>Inputs!C56</f>
        <v>Modbus Brate</v>
      </c>
      <c r="G28" s="44" t="str">
        <f>Inputs!D56</f>
        <v>select [4800..38400]</v>
      </c>
      <c r="I28" s="50"/>
      <c r="J28" s="77"/>
    </row>
    <row r="29" spans="2:10" x14ac:dyDescent="0.2">
      <c r="B29" s="50" t="str">
        <f>Inputs!C51</f>
        <v>T. type</v>
      </c>
      <c r="C29" s="78" t="str">
        <f>Inputs!D51</f>
        <v>Pitot</v>
      </c>
      <c r="E29" s="50" t="str">
        <f>Inputs!C57</f>
        <v>Pulse Length</v>
      </c>
      <c r="G29" s="44" t="str">
        <f>Inputs!D57</f>
        <v>select[2, 10, 100] mS</v>
      </c>
      <c r="I29" s="50"/>
      <c r="J29" s="77"/>
    </row>
    <row r="30" spans="2:10" ht="13.5" thickBot="1" x14ac:dyDescent="0.25">
      <c r="B30" s="79" t="str">
        <f>Inputs!C52</f>
        <v>dp press. Unit</v>
      </c>
      <c r="C30" s="80" t="str">
        <f>Inputs!D52</f>
        <v>[mbar]</v>
      </c>
      <c r="D30" s="59"/>
      <c r="E30" s="79" t="str">
        <f>Inputs!C58</f>
        <v>Pulse Count</v>
      </c>
      <c r="F30" s="59"/>
      <c r="G30" s="59" t="str">
        <f>Inputs!D58</f>
        <v>select [0..9] p/unit</v>
      </c>
      <c r="H30" s="59"/>
      <c r="I30" s="79"/>
      <c r="J30" s="81" t="b">
        <v>0</v>
      </c>
    </row>
    <row r="31" spans="2:10" x14ac:dyDescent="0.2">
      <c r="C31" s="45"/>
      <c r="D31" s="45"/>
      <c r="J31" s="82"/>
    </row>
    <row r="32" spans="2:10" x14ac:dyDescent="0.2">
      <c r="B32" s="45" t="s">
        <v>331</v>
      </c>
    </row>
    <row r="51" spans="2:10" x14ac:dyDescent="0.2">
      <c r="B51" s="44" t="s">
        <v>332</v>
      </c>
      <c r="J51" s="83" t="s">
        <v>335</v>
      </c>
    </row>
    <row r="52" spans="2:10" x14ac:dyDescent="0.2">
      <c r="B52" s="84"/>
      <c r="C52" s="84"/>
      <c r="D52" s="84"/>
      <c r="E52" s="84"/>
      <c r="F52" s="84"/>
      <c r="G52" s="84"/>
      <c r="H52" s="84"/>
      <c r="I52" s="84"/>
      <c r="J52" s="84"/>
    </row>
    <row r="53" spans="2:10" x14ac:dyDescent="0.2">
      <c r="B53" s="46" t="s">
        <v>155</v>
      </c>
      <c r="C53" s="85"/>
      <c r="D53" s="85"/>
      <c r="E53" s="85"/>
      <c r="F53" s="85"/>
      <c r="G53" s="85"/>
      <c r="H53" s="85"/>
      <c r="I53" s="85"/>
      <c r="J53" s="85"/>
    </row>
    <row r="54" spans="2:10" x14ac:dyDescent="0.2">
      <c r="B54" s="99" t="s">
        <v>156</v>
      </c>
      <c r="C54" s="99"/>
      <c r="D54" s="99"/>
      <c r="E54" s="99"/>
      <c r="F54" s="99"/>
      <c r="G54" s="99"/>
      <c r="H54" s="99"/>
      <c r="I54" s="99"/>
      <c r="J54" s="99"/>
    </row>
  </sheetData>
  <sheetProtection algorithmName="SHA-512" hashValue="8li7qK3q8QPpLEsRJ+7boby6omdeiHCWUq2zTDKzJgPoN6y7BD4w4YoCzgivtxKukcxcM8fMTNTP8oteU3Qtxw==" saltValue="lgtPFFFTa6XyhxPKO62qNw==" spinCount="100000" sheet="1" objects="1" scenarios="1" selectLockedCells="1"/>
  <mergeCells count="6">
    <mergeCell ref="B3:E3"/>
    <mergeCell ref="F3:G3"/>
    <mergeCell ref="H4:J4"/>
    <mergeCell ref="H5:I5"/>
    <mergeCell ref="B54:J54"/>
    <mergeCell ref="D12:J13"/>
  </mergeCells>
  <conditionalFormatting sqref="B15:F15 G15:G21 I15:J22 B23 G23">
    <cfRule type="expression" dxfId="11" priority="6">
      <formula>$I$16=1</formula>
    </cfRule>
  </conditionalFormatting>
  <conditionalFormatting sqref="B7:H11">
    <cfRule type="expression" dxfId="10" priority="4">
      <formula>$H$7=TRUE</formula>
    </cfRule>
  </conditionalFormatting>
  <conditionalFormatting sqref="F8">
    <cfRule type="expression" dxfId="8" priority="2">
      <formula>$H$8=TRUE</formula>
    </cfRule>
  </conditionalFormatting>
  <conditionalFormatting sqref="H5">
    <cfRule type="expression" dxfId="6" priority="5">
      <formula>#REF!&lt;25</formula>
    </cfRule>
  </conditionalFormatting>
  <hyperlinks>
    <hyperlink ref="B20" r:id="rId1" display="dp@Operational Flow" xr:uid="{32B8B7C5-45A2-4DCC-A3FC-58911B068B8B}"/>
  </hyperlinks>
  <pageMargins left="0.25" right="0.25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8DC6FBA-5940-4E36-A45D-0E73377B4306}">
            <xm:f>Inputs!$L$143&lt;250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E20:E21</xm:sqref>
        </x14:conditionalFormatting>
        <x14:conditionalFormatting xmlns:xm="http://schemas.microsoft.com/office/excel/2006/main">
          <x14:cfRule type="expression" priority="1" id="{4656D837-DA3B-491C-9F1D-EE6F3669FA7E}">
            <xm:f>Inputs!$L$44&lt;&gt;"other gas"</xm:f>
            <x14:dxf>
              <font>
                <color theme="0"/>
              </font>
            </x14:dxf>
          </x14:cfRule>
          <xm:sqref>F6:H6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C76C-7F28-45A8-95DB-76F8E1145679}">
  <dimension ref="A2:K54"/>
  <sheetViews>
    <sheetView showGridLines="0" showRowColHeaders="0" showWhiteSpace="0" view="pageLayout" topLeftCell="A2" zoomScale="150" zoomScaleNormal="100" zoomScalePageLayoutView="150" workbookViewId="0">
      <selection activeCell="H4" sqref="H4:J4"/>
    </sheetView>
  </sheetViews>
  <sheetFormatPr baseColWidth="10" defaultColWidth="11.42578125" defaultRowHeight="12.75" x14ac:dyDescent="0.2"/>
  <cols>
    <col min="1" max="1" width="4.7109375" style="44" customWidth="1"/>
    <col min="2" max="2" width="15.42578125" style="44" customWidth="1"/>
    <col min="3" max="3" width="8.85546875" style="44" customWidth="1"/>
    <col min="4" max="4" width="7.140625" style="44" customWidth="1"/>
    <col min="5" max="5" width="8.42578125" style="44" customWidth="1"/>
    <col min="6" max="6" width="7.5703125" style="44" customWidth="1"/>
    <col min="7" max="7" width="9.7109375" style="44" customWidth="1"/>
    <col min="8" max="8" width="8.5703125" style="44" customWidth="1"/>
    <col min="9" max="9" width="12.7109375" style="44" customWidth="1"/>
    <col min="10" max="10" width="15.42578125" style="44" customWidth="1"/>
    <col min="11" max="11" width="3.140625" style="44" customWidth="1"/>
    <col min="12" max="16384" width="11.42578125" style="44"/>
  </cols>
  <sheetData>
    <row r="2" spans="1:11" ht="24" customHeight="1" x14ac:dyDescent="0.2">
      <c r="C2" s="45"/>
      <c r="D2" s="45"/>
      <c r="E2" s="45"/>
      <c r="F2" s="45"/>
    </row>
    <row r="3" spans="1:11" ht="13.5" thickBot="1" x14ac:dyDescent="0.25">
      <c r="B3" s="99" t="s">
        <v>157</v>
      </c>
      <c r="C3" s="99"/>
      <c r="D3" s="99"/>
      <c r="E3" s="99"/>
      <c r="F3" s="100">
        <f ca="1">TODAY()</f>
        <v>46003</v>
      </c>
      <c r="G3" s="100"/>
    </row>
    <row r="4" spans="1:11" ht="54.75" thickBot="1" x14ac:dyDescent="0.25">
      <c r="A4" s="47"/>
      <c r="B4" s="48"/>
      <c r="C4" s="49" t="s">
        <v>144</v>
      </c>
      <c r="D4" s="49" t="s">
        <v>201</v>
      </c>
      <c r="E4" s="49" t="s">
        <v>145</v>
      </c>
      <c r="F4" s="49" t="s">
        <v>146</v>
      </c>
      <c r="G4" s="49" t="s">
        <v>198</v>
      </c>
      <c r="H4" s="101" t="s">
        <v>338</v>
      </c>
      <c r="I4" s="102"/>
      <c r="J4" s="103"/>
      <c r="K4" s="47"/>
    </row>
    <row r="5" spans="1:11" x14ac:dyDescent="0.2">
      <c r="B5" s="50" t="s">
        <v>158</v>
      </c>
      <c r="C5" s="51" t="str">
        <f>Inputs!D13</f>
        <v>P10</v>
      </c>
      <c r="D5" s="44" t="str">
        <f>Inputs!E40</f>
        <v>IO</v>
      </c>
      <c r="E5" s="44" t="str">
        <f>Inputs!E41</f>
        <v>D1</v>
      </c>
      <c r="F5" s="44" t="str">
        <f>Inputs!E42</f>
        <v>DH</v>
      </c>
      <c r="G5" s="44" t="str">
        <f>Inputs!E43</f>
        <v>-</v>
      </c>
      <c r="H5" s="104" t="s">
        <v>147</v>
      </c>
      <c r="I5" s="104"/>
      <c r="J5" s="52"/>
    </row>
    <row r="6" spans="1:11" x14ac:dyDescent="0.2">
      <c r="B6" s="50" t="s">
        <v>148</v>
      </c>
      <c r="C6" s="44" t="str">
        <f>Inputs!D23</f>
        <v>other gas</v>
      </c>
      <c r="D6" s="44" t="str">
        <f>Inputs!E23</f>
        <v>-</v>
      </c>
      <c r="E6" s="53"/>
      <c r="F6" s="44">
        <f>Inputs!D24</f>
        <v>12321</v>
      </c>
      <c r="G6" s="44" t="str">
        <f>Inputs!E24</f>
        <v>[kg/Nm³]</v>
      </c>
      <c r="H6" s="44" t="str">
        <f>Inputs!F24</f>
        <v>0°C, 1013,25 hPa</v>
      </c>
      <c r="J6" s="52"/>
    </row>
    <row r="7" spans="1:11" x14ac:dyDescent="0.2">
      <c r="B7" s="54" t="s">
        <v>210</v>
      </c>
      <c r="C7" s="55"/>
      <c r="D7" s="55"/>
      <c r="E7" s="55">
        <f>Inputs!D26</f>
        <v>100</v>
      </c>
      <c r="F7" s="55" t="str">
        <f>Inputs!E26</f>
        <v>[kPa]</v>
      </c>
      <c r="G7" s="55"/>
      <c r="H7" s="55" t="str">
        <f>'Output Protocol_D'!H7</f>
        <v>Pipe ID</v>
      </c>
      <c r="I7" s="55">
        <f>'Output Protocol_D'!I7</f>
        <v>50</v>
      </c>
      <c r="J7" s="52" t="str">
        <f>'Output Protocol_D'!J7</f>
        <v>[mm]</v>
      </c>
    </row>
    <row r="8" spans="1:11" x14ac:dyDescent="0.2">
      <c r="B8" s="54" t="s">
        <v>211</v>
      </c>
      <c r="C8" s="55"/>
      <c r="D8" s="55"/>
      <c r="E8" s="55">
        <f>Inputs!D27</f>
        <v>19</v>
      </c>
      <c r="F8" s="55" t="str">
        <f>Inputs!E27</f>
        <v>[°C]</v>
      </c>
      <c r="G8" s="55"/>
      <c r="H8" s="55"/>
      <c r="I8" s="55"/>
      <c r="J8" s="52"/>
    </row>
    <row r="9" spans="1:11" x14ac:dyDescent="0.2">
      <c r="B9" s="54" t="s">
        <v>212</v>
      </c>
      <c r="C9" s="55"/>
      <c r="D9" s="55"/>
      <c r="E9" s="55">
        <f>Inputs!D28</f>
        <v>450</v>
      </c>
      <c r="F9" s="55" t="str">
        <f>Inputs!E28</f>
        <v>[Nm3/h]@0°C/1013,25mbar</v>
      </c>
      <c r="G9" s="55"/>
      <c r="H9" s="55"/>
      <c r="I9" s="56"/>
      <c r="J9" s="52"/>
    </row>
    <row r="10" spans="1:11" ht="13.5" thickBot="1" x14ac:dyDescent="0.25">
      <c r="B10" s="57" t="s">
        <v>149</v>
      </c>
      <c r="C10" s="58"/>
      <c r="D10" s="58"/>
      <c r="E10" s="58">
        <f>Inputs!D20</f>
        <v>1</v>
      </c>
      <c r="F10" s="58" t="s">
        <v>45</v>
      </c>
      <c r="G10" s="58"/>
      <c r="H10" s="58"/>
      <c r="I10" s="59"/>
      <c r="J10" s="60"/>
    </row>
    <row r="11" spans="1:11" ht="6.75" customHeight="1" x14ac:dyDescent="0.2">
      <c r="B11" s="55"/>
      <c r="C11" s="55"/>
      <c r="D11" s="55"/>
      <c r="E11" s="55"/>
      <c r="F11" s="55"/>
      <c r="G11" s="55"/>
      <c r="H11" s="55"/>
    </row>
    <row r="12" spans="1:11" x14ac:dyDescent="0.2">
      <c r="B12" s="45" t="s">
        <v>151</v>
      </c>
      <c r="C12" s="45"/>
      <c r="D12" s="105" t="str">
        <f ca="1">CELL("dateiname")</f>
        <v>C:\Users\OliverB\Desktop\[deltaflowC2-SelectorV3_08.xlsx]Inputs</v>
      </c>
      <c r="E12" s="105"/>
      <c r="F12" s="105"/>
      <c r="G12" s="105"/>
      <c r="H12" s="105"/>
      <c r="I12" s="105"/>
      <c r="J12" s="105"/>
    </row>
    <row r="13" spans="1:11" x14ac:dyDescent="0.2">
      <c r="B13" s="45"/>
      <c r="C13" s="45"/>
      <c r="D13" s="105"/>
      <c r="E13" s="105"/>
      <c r="F13" s="105"/>
      <c r="G13" s="105"/>
      <c r="H13" s="105"/>
      <c r="I13" s="105"/>
      <c r="J13" s="105"/>
    </row>
    <row r="14" spans="1:11" x14ac:dyDescent="0.2">
      <c r="I14" s="61" t="s">
        <v>259</v>
      </c>
      <c r="J14" s="62" t="s">
        <v>173</v>
      </c>
    </row>
    <row r="15" spans="1:11" x14ac:dyDescent="0.2">
      <c r="B15" s="44" t="s">
        <v>254</v>
      </c>
      <c r="C15" s="63"/>
      <c r="D15" s="63"/>
      <c r="E15" s="64">
        <f>Inputs!L122</f>
        <v>26.815766014967785</v>
      </c>
      <c r="F15" s="44" t="str">
        <f>F9</f>
        <v>[Nm3/h]@0°C/1013,25mbar</v>
      </c>
      <c r="G15" s="64"/>
      <c r="I15" s="65">
        <v>1</v>
      </c>
      <c r="J15" s="66" t="str">
        <f>Inputs!K191</f>
        <v>(brown) GND</v>
      </c>
    </row>
    <row r="16" spans="1:11" x14ac:dyDescent="0.2">
      <c r="B16" s="44" t="s">
        <v>255</v>
      </c>
      <c r="E16" s="44">
        <f>E9</f>
        <v>450</v>
      </c>
      <c r="F16" s="44" t="str">
        <f>F15</f>
        <v>[Nm3/h]@0°C/1013,25mbar</v>
      </c>
      <c r="G16" s="64"/>
      <c r="I16" s="65">
        <v>2</v>
      </c>
      <c r="J16" s="66" t="str">
        <f>Inputs!K192</f>
        <v>(white) 4..20mA</v>
      </c>
    </row>
    <row r="17" spans="2:10" x14ac:dyDescent="0.2">
      <c r="B17" s="44" t="s">
        <v>125</v>
      </c>
      <c r="E17" s="44">
        <f>E7</f>
        <v>100</v>
      </c>
      <c r="F17" s="44" t="s">
        <v>51</v>
      </c>
      <c r="G17" s="64"/>
      <c r="I17" s="65">
        <v>3</v>
      </c>
      <c r="J17" s="66" t="str">
        <f>Inputs!K193</f>
        <v>(blue) Supply</v>
      </c>
    </row>
    <row r="18" spans="2:10" x14ac:dyDescent="0.2">
      <c r="B18" s="44" t="s">
        <v>126</v>
      </c>
      <c r="E18" s="44">
        <f>E8</f>
        <v>19</v>
      </c>
      <c r="F18" s="44" t="s">
        <v>43</v>
      </c>
      <c r="G18" s="64"/>
      <c r="I18" s="65">
        <v>4</v>
      </c>
      <c r="J18" s="66" t="str">
        <f>Inputs!K194</f>
        <v>(black) 0..10VDC</v>
      </c>
    </row>
    <row r="19" spans="2:10" x14ac:dyDescent="0.2">
      <c r="B19" s="44" t="s">
        <v>253</v>
      </c>
      <c r="E19" s="67">
        <f>Inputs!O45</f>
        <v>11369.062641208842</v>
      </c>
      <c r="F19" s="44" t="s">
        <v>81</v>
      </c>
      <c r="G19" s="64"/>
      <c r="I19" s="65">
        <v>5</v>
      </c>
      <c r="J19" s="66" t="str">
        <f>Inputs!K195</f>
        <v>n.a.</v>
      </c>
    </row>
    <row r="20" spans="2:10" x14ac:dyDescent="0.2">
      <c r="B20" s="44" t="s">
        <v>152</v>
      </c>
      <c r="E20" s="64">
        <f>Inputs!D34</f>
        <v>71.052000000000007</v>
      </c>
      <c r="F20" s="44" t="str">
        <f>Inputs!D52</f>
        <v>[mbar]</v>
      </c>
      <c r="G20" s="64"/>
      <c r="I20" s="65">
        <v>6</v>
      </c>
      <c r="J20" s="66" t="str">
        <f>Inputs!K196</f>
        <v>n.a.</v>
      </c>
    </row>
    <row r="21" spans="2:10" x14ac:dyDescent="0.2">
      <c r="B21" s="44" t="s">
        <v>334</v>
      </c>
      <c r="E21" s="64">
        <f>IF(E20*Inputs!D36&gt;0,E20*Inputs!D36,"-")</f>
        <v>14.879159499748289</v>
      </c>
      <c r="F21" s="44" t="str">
        <f>F20</f>
        <v>[mbar]</v>
      </c>
      <c r="G21" s="64"/>
      <c r="I21" s="65">
        <v>7</v>
      </c>
      <c r="J21" s="66" t="str">
        <f>Inputs!K197</f>
        <v>n.a.</v>
      </c>
    </row>
    <row r="22" spans="2:10" x14ac:dyDescent="0.2">
      <c r="B22" s="44" t="s">
        <v>289</v>
      </c>
      <c r="E22" s="67">
        <f>Inputs!D35</f>
        <v>0.95699999999999996</v>
      </c>
      <c r="F22" s="44" t="s">
        <v>45</v>
      </c>
      <c r="I22" s="65">
        <v>8</v>
      </c>
      <c r="J22" s="66" t="str">
        <f>Inputs!K198</f>
        <v>n.a.</v>
      </c>
    </row>
    <row r="23" spans="2:10" x14ac:dyDescent="0.2">
      <c r="B23" s="68" t="str">
        <f>Inputs!C37</f>
        <v>DesignFlow is too high or wrong p&amp;T! Please select other Type or Diameter</v>
      </c>
      <c r="E23" s="69"/>
      <c r="G23" s="64"/>
    </row>
    <row r="24" spans="2:10" ht="13.5" thickBot="1" x14ac:dyDescent="0.25">
      <c r="B24" s="45" t="s">
        <v>153</v>
      </c>
    </row>
    <row r="25" spans="2:10" x14ac:dyDescent="0.2">
      <c r="B25" s="70" t="str">
        <f>Inputs!C47</f>
        <v>Flow Unit / Time Basis</v>
      </c>
      <c r="C25" s="71" t="str">
        <f>Inputs!D47</f>
        <v>[Nm3/h]@0°C/1013,25mbar</v>
      </c>
      <c r="D25" s="72"/>
      <c r="E25" s="70" t="str">
        <f>Inputs!C53</f>
        <v>Damping</v>
      </c>
      <c r="F25" s="72"/>
      <c r="G25" s="72" t="str">
        <f>Inputs!D53</f>
        <v>select [0..99] sek</v>
      </c>
      <c r="H25" s="72"/>
      <c r="I25" s="73" t="str">
        <f>Inputs!C59</f>
        <v>0-Suppression</v>
      </c>
      <c r="J25" s="74" t="s">
        <v>247</v>
      </c>
    </row>
    <row r="26" spans="2:10" x14ac:dyDescent="0.2">
      <c r="B26" s="50" t="str">
        <f>Inputs!C48</f>
        <v>Flowspan</v>
      </c>
      <c r="C26" s="64">
        <f>Inputs!D48</f>
        <v>26.815766014967785</v>
      </c>
      <c r="D26" s="44" t="str">
        <f>C25</f>
        <v>[Nm3/h]@0°C/1013,25mbar</v>
      </c>
      <c r="E26" s="50" t="str">
        <f>Inputs!C54</f>
        <v>Current Out</v>
      </c>
      <c r="G26" s="44" t="str">
        <f>Inputs!D54</f>
        <v>select [Flow/dp/p/T]</v>
      </c>
      <c r="I26" s="75" t="str">
        <f>Inputs!C60</f>
        <v>KEPS</v>
      </c>
      <c r="J26" s="76">
        <f>Inputs!D60</f>
        <v>2001.4916237567902</v>
      </c>
    </row>
    <row r="27" spans="2:10" x14ac:dyDescent="0.2">
      <c r="B27" s="50" t="str">
        <f>Inputs!C49</f>
        <v>Temp. Unit</v>
      </c>
      <c r="C27" s="67" t="str">
        <f>Inputs!D49</f>
        <v>[°C]</v>
      </c>
      <c r="E27" s="50" t="str">
        <f>Inputs!C55</f>
        <v>Voltage Out</v>
      </c>
      <c r="G27" s="44" t="str">
        <f>Inputs!D55</f>
        <v>select [Flow/dp/p/T]</v>
      </c>
      <c r="I27" s="75" t="str">
        <f>Inputs!C61</f>
        <v>K Analog</v>
      </c>
      <c r="J27" s="76">
        <f>Inputs!D61</f>
        <v>314042.86550305795</v>
      </c>
    </row>
    <row r="28" spans="2:10" x14ac:dyDescent="0.2">
      <c r="B28" s="50" t="str">
        <f>Inputs!C50</f>
        <v>Press. Unit</v>
      </c>
      <c r="C28" s="69" t="str">
        <f>Inputs!D50</f>
        <v>[kPa]</v>
      </c>
      <c r="E28" s="50" t="str">
        <f>Inputs!C56</f>
        <v>Modbus Brate</v>
      </c>
      <c r="G28" s="44" t="str">
        <f>Inputs!D56</f>
        <v>select [4800..38400]</v>
      </c>
      <c r="I28" s="50"/>
      <c r="J28" s="77"/>
    </row>
    <row r="29" spans="2:10" x14ac:dyDescent="0.2">
      <c r="B29" s="50" t="str">
        <f>Inputs!C51</f>
        <v>T. type</v>
      </c>
      <c r="C29" s="78" t="str">
        <f>Inputs!D51</f>
        <v>Pitot</v>
      </c>
      <c r="E29" s="50" t="str">
        <f>Inputs!C57</f>
        <v>Pulse Length</v>
      </c>
      <c r="G29" s="44" t="str">
        <f>Inputs!D57</f>
        <v>select[2, 10, 100] mS</v>
      </c>
      <c r="I29" s="50"/>
      <c r="J29" s="77"/>
    </row>
    <row r="30" spans="2:10" ht="13.5" thickBot="1" x14ac:dyDescent="0.25">
      <c r="B30" s="79" t="str">
        <f>Inputs!C52</f>
        <v>dp press. Unit</v>
      </c>
      <c r="C30" s="80" t="str">
        <f>Inputs!D52</f>
        <v>[mbar]</v>
      </c>
      <c r="D30" s="59"/>
      <c r="E30" s="79" t="str">
        <f>Inputs!C58</f>
        <v>Pulse Count</v>
      </c>
      <c r="F30" s="59"/>
      <c r="G30" s="59" t="str">
        <f>Inputs!D58</f>
        <v>select [0..9] p/unit</v>
      </c>
      <c r="H30" s="59"/>
      <c r="I30" s="79"/>
      <c r="J30" s="81" t="b">
        <v>0</v>
      </c>
    </row>
    <row r="31" spans="2:10" x14ac:dyDescent="0.2">
      <c r="C31" s="45"/>
      <c r="D31" s="45"/>
      <c r="J31" s="82"/>
    </row>
    <row r="32" spans="2:10" x14ac:dyDescent="0.2">
      <c r="B32" s="45" t="s">
        <v>258</v>
      </c>
    </row>
    <row r="51" spans="2:10" x14ac:dyDescent="0.2">
      <c r="B51" s="44" t="s">
        <v>154</v>
      </c>
      <c r="J51" s="83" t="str">
        <f>'Output Protocol_D'!J51</f>
        <v>V3.07 29.07.2024</v>
      </c>
    </row>
    <row r="52" spans="2:10" x14ac:dyDescent="0.2">
      <c r="B52" s="84"/>
      <c r="C52" s="84"/>
      <c r="D52" s="84"/>
      <c r="E52" s="84"/>
      <c r="F52" s="84"/>
      <c r="G52" s="84"/>
      <c r="H52" s="84"/>
      <c r="I52" s="84"/>
      <c r="J52" s="84"/>
    </row>
    <row r="53" spans="2:10" x14ac:dyDescent="0.2">
      <c r="B53" s="46" t="s">
        <v>155</v>
      </c>
      <c r="C53" s="85"/>
      <c r="D53" s="85"/>
      <c r="E53" s="85"/>
      <c r="F53" s="85"/>
      <c r="G53" s="85"/>
      <c r="H53" s="85"/>
      <c r="I53" s="85"/>
      <c r="J53" s="85"/>
    </row>
    <row r="54" spans="2:10" x14ac:dyDescent="0.2">
      <c r="B54" s="99" t="s">
        <v>156</v>
      </c>
      <c r="C54" s="99"/>
      <c r="D54" s="99"/>
      <c r="E54" s="99"/>
      <c r="F54" s="99"/>
      <c r="G54" s="99"/>
      <c r="H54" s="99"/>
      <c r="I54" s="99"/>
      <c r="J54" s="99"/>
    </row>
  </sheetData>
  <sheetProtection algorithmName="SHA-512" hashValue="vdcS69aPxpUc4JlgE+0t2OVDA/75mEMYw+bBWlIJAliyZNf2wXqVKiliQ8nxaEtOHeyhAmwn5T/aBC/fYNniyA==" saltValue="xR3Stbh1BeEIZwIc9jDanQ==" spinCount="100000" sheet="1" objects="1" scenarios="1" selectLockedCells="1"/>
  <mergeCells count="6">
    <mergeCell ref="B54:J54"/>
    <mergeCell ref="B3:E3"/>
    <mergeCell ref="F3:G3"/>
    <mergeCell ref="H4:J4"/>
    <mergeCell ref="H5:I5"/>
    <mergeCell ref="D12:J13"/>
  </mergeCells>
  <conditionalFormatting sqref="B15:F15 G15:G21 I15:J22 B23 G23">
    <cfRule type="expression" dxfId="5" priority="42">
      <formula>$I$16=1</formula>
    </cfRule>
  </conditionalFormatting>
  <conditionalFormatting sqref="F8">
    <cfRule type="expression" dxfId="3" priority="2">
      <formula>$H$8=TRUE</formula>
    </cfRule>
  </conditionalFormatting>
  <conditionalFormatting sqref="H5">
    <cfRule type="expression" dxfId="1" priority="40">
      <formula>#REF!&lt;25</formula>
    </cfRule>
  </conditionalFormatting>
  <conditionalFormatting sqref="H7:I8 B7:H11">
    <cfRule type="expression" dxfId="0" priority="39">
      <formula>$H$7=TRUE</formula>
    </cfRule>
  </conditionalFormatting>
  <hyperlinks>
    <hyperlink ref="B20" r:id="rId1" display="dp@Operational Flow" xr:uid="{2F37B7EA-0929-4C18-A8D2-4C85BCEB82E4}"/>
  </hyperlinks>
  <pageMargins left="0.25" right="0.25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0000000-000E-0000-0100-000008000000}">
            <xm:f>Inputs!$L$143&lt;250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E20:E21</xm:sqref>
        </x14:conditionalFormatting>
        <x14:conditionalFormatting xmlns:xm="http://schemas.microsoft.com/office/excel/2006/main">
          <x14:cfRule type="expression" priority="1" id="{F317340B-15D7-4232-932A-CBFE630FAC40}">
            <xm:f>Inputs!$L$44&lt;&gt;"other gas"</xm:f>
            <x14:dxf>
              <font>
                <color theme="0"/>
              </font>
            </x14:dxf>
          </x14:cfRule>
          <xm:sqref>F6:H6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9693-91D1-4315-93F4-B477B4C84C12}">
  <dimension ref="B2:M31"/>
  <sheetViews>
    <sheetView showGridLines="0" showRowColHeaders="0" topLeftCell="A2" workbookViewId="0">
      <selection activeCell="IP17" sqref="A1:XFD1048576"/>
    </sheetView>
  </sheetViews>
  <sheetFormatPr baseColWidth="10" defaultColWidth="0.28515625" defaultRowHeight="15" x14ac:dyDescent="0.25"/>
  <sheetData>
    <row r="2" spans="2:13" x14ac:dyDescent="0.25">
      <c r="B2" t="s">
        <v>114</v>
      </c>
    </row>
    <row r="4" spans="2:13" x14ac:dyDescent="0.25">
      <c r="B4" t="s">
        <v>229</v>
      </c>
      <c r="D4" s="33">
        <f>Inputs!D48</f>
        <v>26.815766014967785</v>
      </c>
      <c r="E4" t="str">
        <f>Inputs!D47</f>
        <v>[Nm3/h]@0°C/1013,25mbar</v>
      </c>
    </row>
    <row r="5" spans="2:13" x14ac:dyDescent="0.25">
      <c r="B5" t="s">
        <v>230</v>
      </c>
      <c r="D5">
        <f>Inputs!D28</f>
        <v>450</v>
      </c>
      <c r="E5" t="str">
        <f>Inputs!E28</f>
        <v>[Nm3/h]@0°C/1013,25mbar</v>
      </c>
      <c r="F5">
        <f>IF(D5&gt;0.25*D4,D5,0.25*D4)</f>
        <v>450</v>
      </c>
    </row>
    <row r="6" spans="2:13" x14ac:dyDescent="0.25">
      <c r="B6" t="s">
        <v>235</v>
      </c>
      <c r="D6" s="33">
        <f>'Output Protocol_E'!$E$20</f>
        <v>71.052000000000007</v>
      </c>
      <c r="E6" t="str">
        <f>Inputs!E34</f>
        <v>[mbar]</v>
      </c>
    </row>
    <row r="7" spans="2:13" x14ac:dyDescent="0.25">
      <c r="B7" t="s">
        <v>239</v>
      </c>
      <c r="D7" s="33">
        <f>Inputs!N57/100000</f>
        <v>1</v>
      </c>
      <c r="E7" t="s">
        <v>240</v>
      </c>
    </row>
    <row r="8" spans="2:13" x14ac:dyDescent="0.25">
      <c r="B8" t="s">
        <v>241</v>
      </c>
      <c r="D8" s="33">
        <f>Inputs!N66</f>
        <v>292.14999999999998</v>
      </c>
      <c r="E8" t="s">
        <v>61</v>
      </c>
    </row>
    <row r="9" spans="2:13" x14ac:dyDescent="0.25">
      <c r="B9" t="s">
        <v>243</v>
      </c>
      <c r="D9">
        <v>0.1</v>
      </c>
      <c r="E9" t="s">
        <v>109</v>
      </c>
    </row>
    <row r="11" spans="2:13" x14ac:dyDescent="0.25">
      <c r="B11" t="str">
        <f>"Flow "&amp;E5</f>
        <v>Flow [Nm3/h]@0°C/1013,25mbar</v>
      </c>
      <c r="C11" t="s">
        <v>234</v>
      </c>
      <c r="D11" t="s">
        <v>231</v>
      </c>
      <c r="E11" t="s">
        <v>233</v>
      </c>
      <c r="F11" t="s">
        <v>232</v>
      </c>
      <c r="I11" t="s">
        <v>238</v>
      </c>
      <c r="J11" t="s">
        <v>242</v>
      </c>
      <c r="K11" t="s">
        <v>252</v>
      </c>
      <c r="L11" t="s">
        <v>256</v>
      </c>
      <c r="M11" t="s">
        <v>257</v>
      </c>
    </row>
    <row r="12" spans="2:13" x14ac:dyDescent="0.25">
      <c r="B12">
        <f>D5</f>
        <v>450</v>
      </c>
      <c r="C12">
        <f>(B12/D$5)^2*D$6</f>
        <v>71.052000000000007</v>
      </c>
      <c r="D12" s="8">
        <f t="shared" ref="D12:D31" si="0">0.03*F$5/B12</f>
        <v>0.03</v>
      </c>
      <c r="F12" s="8">
        <f t="shared" ref="F12:F31" si="1">D12/2</f>
        <v>1.4999999999999999E-2</v>
      </c>
      <c r="I12" s="8">
        <f>(1+(D$9+0.01*C12)/C12)^0.5-1</f>
        <v>5.6875359264461078E-3</v>
      </c>
      <c r="J12" s="8">
        <f>((1+0.015/D7)*(1+1/D8))^0.5-1</f>
        <v>9.1948487202819784E-3</v>
      </c>
      <c r="K12" s="35">
        <f>IF('Output Protocol_E'!F$5="DH",(I12^2+J12^2)^0.5,(I12^2+J12^2)^0.5+0.02)</f>
        <v>1.0811720857638081E-2</v>
      </c>
      <c r="L12" s="8">
        <f>K12*B12/D$5</f>
        <v>1.0811720857638079E-2</v>
      </c>
      <c r="M12" s="8">
        <f>I12*B12/D$4</f>
        <v>9.5443522496137925E-2</v>
      </c>
    </row>
    <row r="13" spans="2:13" x14ac:dyDescent="0.25">
      <c r="B13">
        <f>B12-0.05*D$5</f>
        <v>427.5</v>
      </c>
      <c r="C13">
        <f t="shared" ref="C13:C31" si="2">(B13/D$5)^2*D$6</f>
        <v>64.124430000000004</v>
      </c>
      <c r="D13" s="8">
        <f t="shared" si="0"/>
        <v>3.1578947368421054E-2</v>
      </c>
      <c r="F13" s="8">
        <f t="shared" si="1"/>
        <v>1.5789473684210527E-2</v>
      </c>
      <c r="I13" s="8">
        <f t="shared" ref="I13:I31" si="3">(1+(D$9+0.01*C13)/C13)^0.5-1</f>
        <v>5.7631272088729535E-3</v>
      </c>
      <c r="J13" s="8">
        <f>J12</f>
        <v>9.1948487202819784E-3</v>
      </c>
      <c r="K13" s="35">
        <f>IF('Output Protocol_E'!F$5="DH",(I13^2+J13^2)^0.5,(I13^2+J13^2)^0.5+0.02)</f>
        <v>1.0851676285925732E-2</v>
      </c>
      <c r="L13" s="8">
        <f t="shared" ref="L13:L31" si="4">K13*B13/D$5</f>
        <v>1.0309092471629446E-2</v>
      </c>
      <c r="M13" s="8">
        <f t="shared" ref="M13:M31" si="5">I13*B13/D$4</f>
        <v>9.1876431216546303E-2</v>
      </c>
    </row>
    <row r="14" spans="2:13" x14ac:dyDescent="0.25">
      <c r="B14">
        <f t="shared" ref="B14:B31" si="6">B13-0.05*D$5</f>
        <v>405</v>
      </c>
      <c r="C14">
        <f t="shared" si="2"/>
        <v>57.552120000000009</v>
      </c>
      <c r="D14" s="8">
        <f t="shared" si="0"/>
        <v>3.3333333333333333E-2</v>
      </c>
      <c r="F14" s="8">
        <f t="shared" si="1"/>
        <v>1.6666666666666666E-2</v>
      </c>
      <c r="I14" s="8">
        <f t="shared" si="3"/>
        <v>5.8516567834854261E-3</v>
      </c>
      <c r="J14" s="8">
        <f t="shared" ref="J14:J31" si="7">J13</f>
        <v>9.1948487202819784E-3</v>
      </c>
      <c r="K14" s="35">
        <f>IF('Output Protocol_E'!F$5="DH",(I14^2+J14^2)^0.5,(I14^2+J14^2)^0.5+0.02)</f>
        <v>1.089895087155558E-2</v>
      </c>
      <c r="L14" s="8">
        <f t="shared" si="4"/>
        <v>9.8090557844000212E-3</v>
      </c>
      <c r="M14" s="8">
        <f t="shared" si="5"/>
        <v>8.8377896644413437E-2</v>
      </c>
    </row>
    <row r="15" spans="2:13" x14ac:dyDescent="0.25">
      <c r="B15">
        <f t="shared" si="6"/>
        <v>382.5</v>
      </c>
      <c r="C15">
        <f t="shared" si="2"/>
        <v>51.335070000000002</v>
      </c>
      <c r="D15" s="8">
        <f t="shared" si="0"/>
        <v>3.5294117647058823E-2</v>
      </c>
      <c r="F15" s="8">
        <f t="shared" si="1"/>
        <v>1.7647058823529412E-2</v>
      </c>
      <c r="I15" s="8">
        <f t="shared" si="3"/>
        <v>5.9562545386391275E-3</v>
      </c>
      <c r="J15" s="8">
        <f t="shared" si="7"/>
        <v>9.1948487202819784E-3</v>
      </c>
      <c r="K15" s="35">
        <f>IF('Output Protocol_E'!F$5="DH",(I15^2+J15^2)^0.5,(I15^2+J15^2)^0.5+0.02)</f>
        <v>1.0955464897389355E-2</v>
      </c>
      <c r="L15" s="8">
        <f t="shared" si="4"/>
        <v>9.3121451627809528E-3</v>
      </c>
      <c r="M15" s="8">
        <f t="shared" si="5"/>
        <v>8.4959995539855296E-2</v>
      </c>
    </row>
    <row r="16" spans="2:13" x14ac:dyDescent="0.25">
      <c r="B16">
        <f t="shared" si="6"/>
        <v>360</v>
      </c>
      <c r="C16">
        <f t="shared" si="2"/>
        <v>45.47328000000001</v>
      </c>
      <c r="D16" s="8">
        <f t="shared" si="0"/>
        <v>3.7499999999999999E-2</v>
      </c>
      <c r="F16" s="8">
        <f t="shared" si="1"/>
        <v>1.8749999999999999E-2</v>
      </c>
      <c r="I16" s="8">
        <f t="shared" si="3"/>
        <v>6.081057182557803E-3</v>
      </c>
      <c r="J16" s="8">
        <f t="shared" si="7"/>
        <v>9.1948487202819784E-3</v>
      </c>
      <c r="K16" s="35">
        <f>IF('Output Protocol_E'!F$5="DH",(I16^2+J16^2)^0.5,(I16^2+J16^2)^0.5+0.02)</f>
        <v>1.1023815103965096E-2</v>
      </c>
      <c r="L16" s="8">
        <f t="shared" si="4"/>
        <v>8.8190520831720777E-3</v>
      </c>
      <c r="M16" s="8">
        <f t="shared" si="5"/>
        <v>8.163781651804658E-2</v>
      </c>
    </row>
    <row r="17" spans="2:13" x14ac:dyDescent="0.25">
      <c r="B17">
        <f t="shared" si="6"/>
        <v>337.5</v>
      </c>
      <c r="C17">
        <f t="shared" si="2"/>
        <v>39.966750000000005</v>
      </c>
      <c r="D17" s="8">
        <f t="shared" si="0"/>
        <v>0.04</v>
      </c>
      <c r="F17" s="8">
        <f t="shared" si="1"/>
        <v>0.02</v>
      </c>
      <c r="I17" s="8">
        <f t="shared" si="3"/>
        <v>6.2316233620758332E-3</v>
      </c>
      <c r="J17" s="8">
        <f t="shared" si="7"/>
        <v>9.1948487202819784E-3</v>
      </c>
      <c r="K17" s="35">
        <f>IF('Output Protocol_E'!F$5="DH",(I17^2+J17^2)^0.5,(I17^2+J17^2)^0.5+0.02)</f>
        <v>1.1107581767227306E-2</v>
      </c>
      <c r="L17" s="8">
        <f t="shared" si="4"/>
        <v>8.3306863254204791E-3</v>
      </c>
      <c r="M17" s="8">
        <f t="shared" si="5"/>
        <v>7.8430460779179798E-2</v>
      </c>
    </row>
    <row r="18" spans="2:13" x14ac:dyDescent="0.25">
      <c r="B18">
        <f t="shared" si="6"/>
        <v>315</v>
      </c>
      <c r="C18">
        <f t="shared" si="2"/>
        <v>34.815480000000001</v>
      </c>
      <c r="D18" s="8">
        <f t="shared" si="0"/>
        <v>4.2857142857142858E-2</v>
      </c>
      <c r="F18" s="8">
        <f t="shared" si="1"/>
        <v>2.1428571428571429E-2</v>
      </c>
      <c r="I18" s="8">
        <f t="shared" si="3"/>
        <v>6.4155630486564252E-3</v>
      </c>
      <c r="J18" s="8">
        <f t="shared" si="7"/>
        <v>9.1948487202819784E-3</v>
      </c>
      <c r="K18" s="35">
        <f>IF('Output Protocol_E'!F$5="DH",(I18^2+J18^2)^0.5,(I18^2+J18^2)^0.5+0.02)</f>
        <v>1.1211810389948488E-2</v>
      </c>
      <c r="L18" s="8">
        <f t="shared" si="4"/>
        <v>7.8482672729639422E-3</v>
      </c>
      <c r="M18" s="8">
        <f t="shared" si="5"/>
        <v>7.5362469943941371E-2</v>
      </c>
    </row>
    <row r="19" spans="2:13" x14ac:dyDescent="0.25">
      <c r="B19">
        <f t="shared" si="6"/>
        <v>292.5</v>
      </c>
      <c r="C19">
        <f t="shared" si="2"/>
        <v>30.019470000000005</v>
      </c>
      <c r="D19" s="8">
        <f t="shared" si="0"/>
        <v>4.6153846153846156E-2</v>
      </c>
      <c r="F19" s="8">
        <f t="shared" si="1"/>
        <v>2.3076923076923078E-2</v>
      </c>
      <c r="I19" s="8">
        <f t="shared" si="3"/>
        <v>6.6435175389014667E-3</v>
      </c>
      <c r="J19" s="8">
        <f t="shared" si="7"/>
        <v>9.1948487202819784E-3</v>
      </c>
      <c r="K19" s="35">
        <f>IF('Output Protocol_E'!F$5="DH",(I19^2+J19^2)^0.5,(I19^2+J19^2)^0.5+0.02)</f>
        <v>1.1343789855183431E-2</v>
      </c>
      <c r="L19" s="8">
        <f t="shared" si="4"/>
        <v>7.37346340586923E-3</v>
      </c>
      <c r="M19" s="8">
        <f t="shared" si="5"/>
        <v>7.2465909757865016E-2</v>
      </c>
    </row>
    <row r="20" spans="2:13" x14ac:dyDescent="0.25">
      <c r="B20">
        <f t="shared" si="6"/>
        <v>270</v>
      </c>
      <c r="C20">
        <f t="shared" si="2"/>
        <v>25.578720000000001</v>
      </c>
      <c r="D20" s="8">
        <f t="shared" si="0"/>
        <v>0.05</v>
      </c>
      <c r="F20" s="8">
        <f t="shared" si="1"/>
        <v>2.5000000000000001E-2</v>
      </c>
      <c r="I20" s="8">
        <f t="shared" si="3"/>
        <v>6.930732360317382E-3</v>
      </c>
      <c r="J20" s="8">
        <f t="shared" si="7"/>
        <v>9.1948487202819784E-3</v>
      </c>
      <c r="K20" s="35">
        <f>IF('Output Protocol_E'!F$5="DH",(I20^2+J20^2)^0.5,(I20^2+J20^2)^0.5+0.02)</f>
        <v>1.151435165518327E-2</v>
      </c>
      <c r="L20" s="8">
        <f t="shared" si="4"/>
        <v>6.9086109931099622E-3</v>
      </c>
      <c r="M20" s="8">
        <f t="shared" si="5"/>
        <v>6.9783489915640998E-2</v>
      </c>
    </row>
    <row r="21" spans="2:13" x14ac:dyDescent="0.25">
      <c r="B21">
        <f t="shared" si="6"/>
        <v>247.5</v>
      </c>
      <c r="C21">
        <f t="shared" si="2"/>
        <v>21.493230000000004</v>
      </c>
      <c r="D21" s="8">
        <f t="shared" si="0"/>
        <v>5.4545454545454543E-2</v>
      </c>
      <c r="F21" s="8">
        <f t="shared" si="1"/>
        <v>2.7272727272727271E-2</v>
      </c>
      <c r="I21" s="8">
        <f t="shared" si="3"/>
        <v>7.2996713130903945E-3</v>
      </c>
      <c r="J21" s="8">
        <f t="shared" si="7"/>
        <v>9.1948487202819784E-3</v>
      </c>
      <c r="K21" s="35">
        <f>IF('Output Protocol_E'!F$5="DH",(I21^2+J21^2)^0.5,(I21^2+J21^2)^0.5+0.02)</f>
        <v>1.1740121135151289E-2</v>
      </c>
      <c r="L21" s="8">
        <f t="shared" si="4"/>
        <v>6.4570666243332093E-3</v>
      </c>
      <c r="M21" s="8">
        <f t="shared" si="5"/>
        <v>6.7373374640181546E-2</v>
      </c>
    </row>
    <row r="22" spans="2:13" x14ac:dyDescent="0.25">
      <c r="B22">
        <f t="shared" si="6"/>
        <v>225</v>
      </c>
      <c r="C22">
        <f t="shared" si="2"/>
        <v>17.763000000000002</v>
      </c>
      <c r="D22" s="8">
        <f t="shared" si="0"/>
        <v>0.06</v>
      </c>
      <c r="F22" s="8">
        <f t="shared" si="1"/>
        <v>0.03</v>
      </c>
      <c r="I22" s="8">
        <f t="shared" si="3"/>
        <v>7.784540301758458E-3</v>
      </c>
      <c r="J22" s="8">
        <f t="shared" si="7"/>
        <v>9.1948487202819784E-3</v>
      </c>
      <c r="K22" s="35">
        <f>IF('Output Protocol_E'!F$5="DH",(I22^2+J22^2)^0.5,(I22^2+J22^2)^0.5+0.02)</f>
        <v>1.2047585264216759E-2</v>
      </c>
      <c r="L22" s="8">
        <f t="shared" si="4"/>
        <v>6.0237926321083796E-3</v>
      </c>
      <c r="M22" s="8">
        <f t="shared" si="5"/>
        <v>6.5316857512778284E-2</v>
      </c>
    </row>
    <row r="23" spans="2:13" x14ac:dyDescent="0.25">
      <c r="B23">
        <f t="shared" si="6"/>
        <v>202.5</v>
      </c>
      <c r="C23">
        <f t="shared" si="2"/>
        <v>14.388030000000002</v>
      </c>
      <c r="D23" s="8">
        <f t="shared" si="0"/>
        <v>6.6666666666666666E-2</v>
      </c>
      <c r="F23" s="8">
        <f t="shared" si="1"/>
        <v>3.3333333333333333E-2</v>
      </c>
      <c r="I23" s="8">
        <f t="shared" si="3"/>
        <v>8.4394983420321701E-3</v>
      </c>
      <c r="J23" s="8">
        <f t="shared" si="7"/>
        <v>9.1948487202819784E-3</v>
      </c>
      <c r="K23" s="35">
        <f>IF('Output Protocol_E'!F$5="DH",(I23^2+J23^2)^0.5,(I23^2+J23^2)^0.5+0.02)</f>
        <v>1.2480800264968384E-2</v>
      </c>
      <c r="L23" s="8">
        <f t="shared" si="4"/>
        <v>5.6163601192357731E-3</v>
      </c>
      <c r="M23" s="8">
        <f t="shared" si="5"/>
        <v>6.3731105548415101E-2</v>
      </c>
    </row>
    <row r="24" spans="2:13" x14ac:dyDescent="0.25">
      <c r="B24">
        <f t="shared" si="6"/>
        <v>180</v>
      </c>
      <c r="C24">
        <f t="shared" si="2"/>
        <v>11.368320000000002</v>
      </c>
      <c r="D24" s="8">
        <f t="shared" si="0"/>
        <v>7.4999999999999997E-2</v>
      </c>
      <c r="F24" s="8">
        <f t="shared" si="1"/>
        <v>3.7499999999999999E-2</v>
      </c>
      <c r="I24" s="8">
        <f t="shared" si="3"/>
        <v>9.3544345205462953E-3</v>
      </c>
      <c r="J24" s="8">
        <f t="shared" si="7"/>
        <v>9.1948487202819784E-3</v>
      </c>
      <c r="K24" s="35">
        <f>IF('Output Protocol_E'!F$5="DH",(I24^2+J24^2)^0.5,(I24^2+J24^2)^0.5+0.02)</f>
        <v>1.3116809375303864E-2</v>
      </c>
      <c r="L24" s="8">
        <f t="shared" si="4"/>
        <v>5.2467237501215456E-3</v>
      </c>
      <c r="M24" s="8">
        <f t="shared" si="5"/>
        <v>6.2791352399125408E-2</v>
      </c>
    </row>
    <row r="25" spans="2:13" x14ac:dyDescent="0.25">
      <c r="B25">
        <f t="shared" si="6"/>
        <v>157.5</v>
      </c>
      <c r="C25">
        <f t="shared" si="2"/>
        <v>8.7038700000000002</v>
      </c>
      <c r="D25" s="8">
        <f t="shared" si="0"/>
        <v>8.5714285714285715E-2</v>
      </c>
      <c r="F25" s="8">
        <f t="shared" si="1"/>
        <v>4.2857142857142858E-2</v>
      </c>
      <c r="I25" s="8">
        <f t="shared" si="3"/>
        <v>1.0687460190427434E-2</v>
      </c>
      <c r="J25" s="8">
        <f t="shared" si="7"/>
        <v>9.1948487202819784E-3</v>
      </c>
      <c r="K25" s="35">
        <f>IF('Output Protocol_E'!F$5="DH",(I25^2+J25^2)^0.5,(I25^2+J25^2)^0.5+0.02)</f>
        <v>1.4098476808181879E-2</v>
      </c>
      <c r="L25" s="8">
        <f t="shared" si="4"/>
        <v>4.9344668828636574E-3</v>
      </c>
      <c r="M25" s="8">
        <f t="shared" si="5"/>
        <v>6.2771840232077103E-2</v>
      </c>
    </row>
    <row r="26" spans="2:13" x14ac:dyDescent="0.25">
      <c r="B26">
        <f t="shared" si="6"/>
        <v>135</v>
      </c>
      <c r="C26">
        <f t="shared" si="2"/>
        <v>6.3946800000000001</v>
      </c>
      <c r="D26" s="8">
        <f t="shared" si="0"/>
        <v>0.1</v>
      </c>
      <c r="F26" s="8">
        <f t="shared" si="1"/>
        <v>0.05</v>
      </c>
      <c r="I26" s="8">
        <f t="shared" si="3"/>
        <v>1.2737872841112274E-2</v>
      </c>
      <c r="J26" s="8">
        <f t="shared" si="7"/>
        <v>9.1948487202819784E-3</v>
      </c>
      <c r="K26" s="35">
        <f>IF('Output Protocol_E'!F$5="DH",(I26^2+J26^2)^0.5,(I26^2+J26^2)^0.5+0.02)</f>
        <v>1.5709826463243214E-2</v>
      </c>
      <c r="L26" s="8">
        <f t="shared" si="4"/>
        <v>4.7129479389729648E-3</v>
      </c>
      <c r="M26" s="8">
        <f t="shared" si="5"/>
        <v>6.4126933110555895E-2</v>
      </c>
    </row>
    <row r="27" spans="2:13" x14ac:dyDescent="0.25">
      <c r="B27">
        <f t="shared" si="6"/>
        <v>112.5</v>
      </c>
      <c r="C27">
        <f t="shared" si="2"/>
        <v>4.4407500000000004</v>
      </c>
      <c r="D27" s="8">
        <f t="shared" si="0"/>
        <v>0.12</v>
      </c>
      <c r="F27" s="8">
        <f t="shared" si="1"/>
        <v>0.06</v>
      </c>
      <c r="I27" s="8">
        <f t="shared" si="3"/>
        <v>1.6129282466019079E-2</v>
      </c>
      <c r="J27" s="8">
        <f t="shared" si="7"/>
        <v>9.1948487202819784E-3</v>
      </c>
      <c r="K27" s="35">
        <f>IF('Output Protocol_E'!F$5="DH",(I27^2+J27^2)^0.5,(I27^2+J27^2)^0.5+0.02)</f>
        <v>1.8566071093731751E-2</v>
      </c>
      <c r="L27" s="8">
        <f t="shared" si="4"/>
        <v>4.641517773432937E-3</v>
      </c>
      <c r="M27" s="8">
        <f t="shared" si="5"/>
        <v>6.7667068560126914E-2</v>
      </c>
    </row>
    <row r="28" spans="2:13" x14ac:dyDescent="0.25">
      <c r="B28">
        <f t="shared" si="6"/>
        <v>90</v>
      </c>
      <c r="C28">
        <f t="shared" si="2"/>
        <v>2.8420800000000006</v>
      </c>
      <c r="D28" s="8">
        <f t="shared" si="0"/>
        <v>0.15</v>
      </c>
      <c r="F28" s="8">
        <f t="shared" si="1"/>
        <v>7.4999999999999997E-2</v>
      </c>
      <c r="I28" s="8">
        <f t="shared" si="3"/>
        <v>2.234314099776058E-2</v>
      </c>
      <c r="J28" s="8">
        <f t="shared" si="7"/>
        <v>9.1948487202819784E-3</v>
      </c>
      <c r="K28" s="35">
        <f>IF('Output Protocol_E'!F$5="DH",(I28^2+J28^2)^0.5,(I28^2+J28^2)^0.5+0.02)</f>
        <v>2.4161150482431101E-2</v>
      </c>
      <c r="L28" s="8">
        <f t="shared" si="4"/>
        <v>4.8322300964862199E-3</v>
      </c>
      <c r="M28" s="8">
        <f t="shared" si="5"/>
        <v>7.4988821452127666E-2</v>
      </c>
    </row>
    <row r="29" spans="2:13" x14ac:dyDescent="0.25">
      <c r="B29">
        <f t="shared" si="6"/>
        <v>67.5</v>
      </c>
      <c r="C29">
        <f t="shared" si="2"/>
        <v>1.59867</v>
      </c>
      <c r="D29" s="8">
        <f t="shared" si="0"/>
        <v>0.2</v>
      </c>
      <c r="F29" s="8">
        <f t="shared" si="1"/>
        <v>0.1</v>
      </c>
      <c r="I29" s="8">
        <f t="shared" si="3"/>
        <v>3.5640862629011671E-2</v>
      </c>
      <c r="J29" s="8">
        <f t="shared" si="7"/>
        <v>9.1948487202819784E-3</v>
      </c>
      <c r="K29" s="35">
        <f>IF('Output Protocol_E'!F$5="DH",(I29^2+J29^2)^0.5,(I29^2+J29^2)^0.5+0.02)</f>
        <v>3.680782976390963E-2</v>
      </c>
      <c r="L29" s="8">
        <f t="shared" si="4"/>
        <v>5.5211744645864442E-3</v>
      </c>
      <c r="M29" s="8">
        <f t="shared" si="5"/>
        <v>8.9714320527538277E-2</v>
      </c>
    </row>
    <row r="30" spans="2:13" x14ac:dyDescent="0.25">
      <c r="B30">
        <f t="shared" si="6"/>
        <v>45</v>
      </c>
      <c r="C30">
        <f t="shared" si="2"/>
        <v>0.71052000000000015</v>
      </c>
      <c r="D30" s="8">
        <f t="shared" si="0"/>
        <v>0.3</v>
      </c>
      <c r="F30" s="8">
        <f t="shared" si="1"/>
        <v>0.15</v>
      </c>
      <c r="I30" s="8">
        <f t="shared" si="3"/>
        <v>7.2726429142429438E-2</v>
      </c>
      <c r="J30" s="8">
        <f t="shared" si="7"/>
        <v>9.1948487202819784E-3</v>
      </c>
      <c r="K30" s="35">
        <f>IF('Output Protocol_E'!F$5="DH",(I30^2+J30^2)^0.5,(I30^2+J30^2)^0.5+0.02)</f>
        <v>7.3305380012640822E-2</v>
      </c>
      <c r="L30" s="8">
        <f t="shared" si="4"/>
        <v>7.3305380012640827E-3</v>
      </c>
      <c r="M30" s="8">
        <f t="shared" si="5"/>
        <v>0.12204347657205109</v>
      </c>
    </row>
    <row r="31" spans="2:13" hidden="1" x14ac:dyDescent="0.25">
      <c r="B31">
        <f t="shared" si="6"/>
        <v>22.5</v>
      </c>
      <c r="C31">
        <f t="shared" si="2"/>
        <v>0.17763000000000004</v>
      </c>
      <c r="D31" s="8">
        <f t="shared" si="0"/>
        <v>0.6</v>
      </c>
      <c r="F31" s="8">
        <f t="shared" si="1"/>
        <v>0.3</v>
      </c>
      <c r="I31" s="9">
        <f t="shared" si="3"/>
        <v>0.25418019722951724</v>
      </c>
      <c r="J31" s="9">
        <f t="shared" si="7"/>
        <v>9.1948487202819784E-3</v>
      </c>
      <c r="K31" s="10">
        <f t="shared" ref="K31" si="8">(I31^2+J31^2)^0.5</f>
        <v>0.25434645251433163</v>
      </c>
      <c r="L31" s="9">
        <f t="shared" si="4"/>
        <v>1.2717322625716581E-2</v>
      </c>
      <c r="M31" s="9">
        <f t="shared" si="5"/>
        <v>0.21327208905656198</v>
      </c>
    </row>
  </sheetData>
  <sheetProtection algorithmName="SHA-512" hashValue="IT3uvrvQfJWFIXzSzlcKKEAITxoxAuu5kXaeMt4AUWYu5P9WP28/Z4YZrrT2qa6sZnPWqJ2wh8QfiMQlVMlKpQ==" saltValue="5ycJ5GivCbmC+gcMPtjQlg==" spinCount="100000" sheet="1" objects="1" scenarios="1" selectLockedCells="1" selectUnlockedCells="1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E11E3-7EC1-4DBF-82AF-4E932A484238}">
  <dimension ref="B2:E15"/>
  <sheetViews>
    <sheetView showGridLines="0" showRowColHeaders="0" workbookViewId="0">
      <selection activeCell="Q17" sqref="Q17"/>
    </sheetView>
  </sheetViews>
  <sheetFormatPr baseColWidth="10" defaultRowHeight="15" x14ac:dyDescent="0.25"/>
  <cols>
    <col min="1" max="1" width="11.42578125" customWidth="1"/>
    <col min="2" max="13" width="1.42578125" customWidth="1"/>
    <col min="14" max="14" width="11.5703125" customWidth="1"/>
  </cols>
  <sheetData>
    <row r="2" spans="2:5" x14ac:dyDescent="0.25">
      <c r="B2" t="s">
        <v>120</v>
      </c>
      <c r="C2" t="s">
        <v>87</v>
      </c>
      <c r="D2" t="s">
        <v>129</v>
      </c>
      <c r="E2" t="s">
        <v>130</v>
      </c>
    </row>
    <row r="3" spans="2:5" x14ac:dyDescent="0.25">
      <c r="B3">
        <v>25</v>
      </c>
      <c r="C3">
        <f>IF(B3&lt;30,(24*15)/(B3^2*PI()/4),((30*12)+(B3-30)*15)/(B3^2*PI()/4))</f>
        <v>0.73338597776745373</v>
      </c>
      <c r="D3">
        <v>32</v>
      </c>
      <c r="E3" s="8">
        <f>D3*0.015</f>
        <v>0.48</v>
      </c>
    </row>
    <row r="4" spans="2:5" x14ac:dyDescent="0.25">
      <c r="B4">
        <v>30</v>
      </c>
      <c r="C4">
        <f t="shared" ref="C4:C15" si="0">IF(B4&lt;30,(24*15)/(B4^2*PI()/4),((30*12)+(B4-30)*15)/(B4^2*PI()/4))</f>
        <v>0.50929581789406508</v>
      </c>
      <c r="D4">
        <v>21.1</v>
      </c>
      <c r="E4" s="8">
        <f t="shared" ref="E4:E15" si="1">D4*0.015</f>
        <v>0.3165</v>
      </c>
    </row>
    <row r="5" spans="2:5" x14ac:dyDescent="0.25">
      <c r="B5">
        <v>35</v>
      </c>
      <c r="C5">
        <f t="shared" si="0"/>
        <v>0.45212996078350676</v>
      </c>
      <c r="D5">
        <v>18.399999999999999</v>
      </c>
      <c r="E5" s="8">
        <f t="shared" si="1"/>
        <v>0.27599999999999997</v>
      </c>
    </row>
    <row r="6" spans="2:5" x14ac:dyDescent="0.25">
      <c r="B6">
        <v>40</v>
      </c>
      <c r="C6">
        <f t="shared" si="0"/>
        <v>0.40584510488433312</v>
      </c>
      <c r="D6">
        <v>16.3</v>
      </c>
      <c r="E6" s="8">
        <f t="shared" si="1"/>
        <v>0.2445</v>
      </c>
    </row>
    <row r="7" spans="2:5" x14ac:dyDescent="0.25">
      <c r="B7">
        <v>50</v>
      </c>
      <c r="C7">
        <f t="shared" si="0"/>
        <v>0.33613523981008298</v>
      </c>
      <c r="D7">
        <v>13.4</v>
      </c>
      <c r="E7" s="8">
        <f t="shared" si="1"/>
        <v>0.20099999999999998</v>
      </c>
    </row>
    <row r="8" spans="2:5" x14ac:dyDescent="0.25">
      <c r="B8">
        <v>60</v>
      </c>
      <c r="C8">
        <f t="shared" si="0"/>
        <v>0.28647889756541162</v>
      </c>
      <c r="D8">
        <v>11.4</v>
      </c>
      <c r="E8" s="8">
        <f t="shared" si="1"/>
        <v>0.17099999999999999</v>
      </c>
    </row>
    <row r="9" spans="2:5" x14ac:dyDescent="0.25">
      <c r="B9">
        <v>70</v>
      </c>
      <c r="C9">
        <f t="shared" si="0"/>
        <v>0.24945101284607271</v>
      </c>
      <c r="D9">
        <v>10</v>
      </c>
      <c r="E9" s="8">
        <f t="shared" si="1"/>
        <v>0.15</v>
      </c>
    </row>
    <row r="10" spans="2:5" x14ac:dyDescent="0.25">
      <c r="B10">
        <v>80</v>
      </c>
      <c r="C10">
        <f t="shared" si="0"/>
        <v>0.22082748354000478</v>
      </c>
      <c r="D10">
        <v>8.9</v>
      </c>
      <c r="E10" s="8">
        <f t="shared" si="1"/>
        <v>0.13350000000000001</v>
      </c>
    </row>
    <row r="11" spans="2:5" x14ac:dyDescent="0.25">
      <c r="B11">
        <v>100</v>
      </c>
      <c r="C11">
        <f t="shared" si="0"/>
        <v>0.17952677580765794</v>
      </c>
      <c r="D11">
        <v>7.4</v>
      </c>
      <c r="E11" s="8">
        <f t="shared" si="1"/>
        <v>0.111</v>
      </c>
    </row>
    <row r="12" spans="2:5" x14ac:dyDescent="0.25">
      <c r="B12">
        <v>150</v>
      </c>
      <c r="C12">
        <f t="shared" si="0"/>
        <v>0.12223099629457561</v>
      </c>
      <c r="D12">
        <f>D11/B12*B$11</f>
        <v>4.9333333333333336</v>
      </c>
      <c r="E12" s="8">
        <f t="shared" si="1"/>
        <v>7.3999999999999996E-2</v>
      </c>
    </row>
    <row r="13" spans="2:5" x14ac:dyDescent="0.25">
      <c r="B13">
        <v>200</v>
      </c>
      <c r="C13">
        <f t="shared" si="0"/>
        <v>9.262817687948309E-2</v>
      </c>
      <c r="D13">
        <f>D12/B13*B$11</f>
        <v>2.4666666666666668</v>
      </c>
      <c r="E13" s="8">
        <f t="shared" si="1"/>
        <v>3.6999999999999998E-2</v>
      </c>
    </row>
    <row r="14" spans="2:5" x14ac:dyDescent="0.25">
      <c r="B14">
        <v>500</v>
      </c>
      <c r="C14">
        <f t="shared" si="0"/>
        <v>3.7738820105950227E-2</v>
      </c>
      <c r="D14">
        <f>D13/B14*B$11</f>
        <v>0.4933333333333334</v>
      </c>
      <c r="E14" s="8">
        <f t="shared" si="1"/>
        <v>7.4000000000000003E-3</v>
      </c>
    </row>
    <row r="15" spans="2:5" x14ac:dyDescent="0.25">
      <c r="B15">
        <v>5000</v>
      </c>
      <c r="C15">
        <f t="shared" si="0"/>
        <v>3.8151349718444421E-3</v>
      </c>
      <c r="D15">
        <f>D14/B15*B$11</f>
        <v>9.8666666666666677E-3</v>
      </c>
      <c r="E15" s="8">
        <f t="shared" si="1"/>
        <v>1.4800000000000002E-4</v>
      </c>
    </row>
  </sheetData>
  <sheetProtection algorithmName="SHA-512" hashValue="WrbuM+zTEbxgczIPqh4Xn/z2RVXBEF5Im6wS0f0bx5c71e0QOXhrUcXvd99Kt+d660n9OK5k8Y1Bh9N1EkVyqg==" saltValue="ZEMqTIKRq5kTcZdhF2VXAA==" spinCount="100000" sheet="1" objects="1" scenarios="1" selectLockedCells="1" selectUnlockedCell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Inputs</vt:lpstr>
      <vt:lpstr>Output Protocol_D</vt:lpstr>
      <vt:lpstr>Output Protocol_E</vt:lpstr>
      <vt:lpstr>Berechnung Unsicherheit</vt:lpstr>
      <vt:lpstr>P10 Druckverlust</vt:lpstr>
      <vt:lpstr>Inputs!Druckbereich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Betz</dc:creator>
  <cp:lastModifiedBy>Oliver Betz</cp:lastModifiedBy>
  <cp:lastPrinted>2025-10-08T07:39:49Z</cp:lastPrinted>
  <dcterms:created xsi:type="dcterms:W3CDTF">2023-09-20T05:51:15Z</dcterms:created>
  <dcterms:modified xsi:type="dcterms:W3CDTF">2025-12-12T10:39:24Z</dcterms:modified>
</cp:coreProperties>
</file>